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4005" windowWidth="19005" windowHeight="7800"/>
  </bookViews>
  <sheets>
    <sheet name="печать" sheetId="7" r:id="rId1"/>
  </sheets>
  <definedNames>
    <definedName name="_xlnm._FilterDatabase" localSheetId="0" hidden="1">печать!$A$8:$J$8</definedName>
    <definedName name="_xlnm.Print_Titles" localSheetId="0">печать!$A:$J,печать!$6:$7</definedName>
    <definedName name="_xlnm.Print_Area" localSheetId="0">печать!$A$1:$J$596</definedName>
  </definedNames>
  <calcPr calcId="145621" refMode="R1C1"/>
</workbook>
</file>

<file path=xl/calcChain.xml><?xml version="1.0" encoding="utf-8"?>
<calcChain xmlns="http://schemas.openxmlformats.org/spreadsheetml/2006/main">
  <c r="G150" i="7" l="1"/>
  <c r="E150" i="7"/>
  <c r="G149" i="7"/>
  <c r="E149" i="7"/>
  <c r="G148" i="7"/>
  <c r="E148" i="7"/>
  <c r="G147" i="7"/>
  <c r="E147" i="7"/>
  <c r="G160" i="7" l="1"/>
  <c r="E160" i="7" s="1"/>
  <c r="E12" i="7" l="1"/>
  <c r="G419" i="7"/>
  <c r="E440" i="7"/>
  <c r="J179" i="7"/>
  <c r="H179" i="7" s="1"/>
  <c r="J178" i="7"/>
  <c r="H178" i="7" s="1"/>
  <c r="J177" i="7"/>
  <c r="H177" i="7" s="1"/>
  <c r="J69" i="7"/>
  <c r="H69" i="7" s="1"/>
  <c r="J68" i="7"/>
  <c r="H68" i="7" s="1"/>
  <c r="J67" i="7"/>
  <c r="H67" i="7" s="1"/>
  <c r="J427" i="7"/>
  <c r="H427" i="7" s="1"/>
  <c r="J426" i="7"/>
  <c r="H426" i="7" s="1"/>
  <c r="J425" i="7"/>
  <c r="H425" i="7" s="1"/>
  <c r="J404" i="7"/>
  <c r="H404" i="7" s="1"/>
  <c r="J403" i="7"/>
  <c r="H403" i="7" s="1"/>
  <c r="J402" i="7"/>
  <c r="H402" i="7" s="1"/>
  <c r="J460" i="7" l="1"/>
  <c r="H460" i="7" s="1"/>
  <c r="J480" i="7"/>
  <c r="H480" i="7" s="1"/>
  <c r="J479" i="7"/>
  <c r="H479" i="7" s="1"/>
  <c r="J465" i="7"/>
  <c r="H465" i="7" s="1"/>
  <c r="J532" i="7" l="1"/>
  <c r="H532" i="7" s="1"/>
  <c r="J544" i="7"/>
  <c r="H544" i="7" s="1"/>
  <c r="J280" i="7" l="1"/>
  <c r="H280" i="7" s="1"/>
  <c r="J279" i="7"/>
  <c r="H279" i="7" s="1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08" i="7"/>
  <c r="H208" i="7" s="1"/>
  <c r="J348" i="7"/>
  <c r="H348" i="7" s="1"/>
  <c r="J358" i="7"/>
  <c r="H358" i="7" s="1"/>
  <c r="J357" i="7"/>
  <c r="H357" i="7" s="1"/>
  <c r="J356" i="7"/>
  <c r="H356" i="7" s="1"/>
  <c r="J355" i="7"/>
  <c r="H355" i="7" s="1"/>
  <c r="J354" i="7"/>
  <c r="H354" i="7" s="1"/>
  <c r="J353" i="7"/>
  <c r="H353" i="7" s="1"/>
  <c r="J352" i="7"/>
  <c r="H352" i="7" s="1"/>
  <c r="J351" i="7"/>
  <c r="H351" i="7" s="1"/>
  <c r="J350" i="7"/>
  <c r="H350" i="7" s="1"/>
  <c r="J349" i="7"/>
  <c r="H349" i="7" s="1"/>
  <c r="J347" i="7"/>
  <c r="H347" i="7" s="1"/>
  <c r="J346" i="7"/>
  <c r="H346" i="7" s="1"/>
  <c r="J345" i="7"/>
  <c r="H345" i="7" s="1"/>
  <c r="J344" i="7"/>
  <c r="H344" i="7" s="1"/>
  <c r="J343" i="7"/>
  <c r="H343" i="7" s="1"/>
  <c r="J342" i="7"/>
  <c r="H342" i="7" s="1"/>
  <c r="J564" i="7"/>
  <c r="H564" i="7" s="1"/>
  <c r="J478" i="7"/>
  <c r="H478" i="7" s="1"/>
  <c r="J477" i="7"/>
  <c r="H477" i="7" s="1"/>
  <c r="J459" i="7"/>
  <c r="H459" i="7" s="1"/>
  <c r="J464" i="7"/>
  <c r="H464" i="7" s="1"/>
  <c r="J21" i="7"/>
  <c r="H21" i="7" s="1"/>
  <c r="J20" i="7"/>
  <c r="H20" i="7" s="1"/>
  <c r="J547" i="7"/>
  <c r="H547" i="7" s="1"/>
  <c r="J543" i="7"/>
  <c r="H543" i="7" s="1"/>
  <c r="J531" i="7"/>
  <c r="H531" i="7" s="1"/>
  <c r="J117" i="7"/>
  <c r="H117" i="7" s="1"/>
  <c r="J84" i="7"/>
  <c r="H84" i="7" s="1"/>
  <c r="J159" i="7"/>
  <c r="H159" i="7" s="1"/>
  <c r="J158" i="7"/>
  <c r="H158" i="7" s="1"/>
  <c r="J171" i="7"/>
  <c r="H171" i="7" s="1"/>
  <c r="J167" i="7"/>
  <c r="H167" i="7" s="1"/>
  <c r="J418" i="7"/>
  <c r="H418" i="7" s="1"/>
  <c r="H270" i="7" l="1"/>
  <c r="H264" i="7"/>
  <c r="J563" i="7"/>
  <c r="H563" i="7" s="1"/>
  <c r="J562" i="7"/>
  <c r="H562" i="7" s="1"/>
  <c r="J482" i="7"/>
  <c r="H482" i="7" s="1"/>
  <c r="J490" i="7"/>
  <c r="J483" i="7"/>
  <c r="H483" i="7" s="1"/>
  <c r="J486" i="7"/>
  <c r="H486" i="7" s="1"/>
  <c r="J485" i="7"/>
  <c r="H485" i="7" s="1"/>
  <c r="J484" i="7"/>
  <c r="H484" i="7" s="1"/>
  <c r="J168" i="7"/>
  <c r="H168" i="7" s="1"/>
  <c r="J162" i="7"/>
  <c r="H162" i="7" s="1"/>
  <c r="J161" i="7"/>
  <c r="H161" i="7" s="1"/>
  <c r="J118" i="7"/>
  <c r="H118" i="7" s="1"/>
  <c r="J119" i="7"/>
  <c r="J85" i="7"/>
  <c r="H85" i="7" s="1"/>
  <c r="J40" i="7"/>
  <c r="H40" i="7" s="1"/>
  <c r="J26" i="7"/>
  <c r="H26" i="7" s="1"/>
  <c r="J25" i="7"/>
  <c r="H25" i="7" s="1"/>
  <c r="J416" i="7"/>
  <c r="H416" i="7" s="1"/>
  <c r="J207" i="7"/>
  <c r="H207" i="7" s="1"/>
  <c r="J370" i="7"/>
  <c r="H370" i="7" s="1"/>
  <c r="J369" i="7"/>
  <c r="H369" i="7" s="1"/>
  <c r="J368" i="7"/>
  <c r="H368" i="7" s="1"/>
  <c r="J367" i="7"/>
  <c r="H367" i="7" s="1"/>
  <c r="J366" i="7"/>
  <c r="H366" i="7" s="1"/>
  <c r="J292" i="7"/>
  <c r="H292" i="7" s="1"/>
  <c r="J291" i="7"/>
  <c r="H291" i="7" s="1"/>
  <c r="J290" i="7"/>
  <c r="H290" i="7" s="1"/>
  <c r="J289" i="7"/>
  <c r="H289" i="7" s="1"/>
  <c r="J288" i="7"/>
  <c r="H288" i="7" s="1"/>
  <c r="J287" i="7"/>
  <c r="H287" i="7" s="1"/>
  <c r="J286" i="7"/>
  <c r="H286" i="7" s="1"/>
  <c r="J285" i="7"/>
  <c r="H285" i="7" s="1"/>
  <c r="J284" i="7"/>
  <c r="H284" i="7" s="1"/>
  <c r="J283" i="7"/>
  <c r="H283" i="7" s="1"/>
  <c r="J282" i="7"/>
  <c r="H282" i="7" s="1"/>
  <c r="J281" i="7"/>
  <c r="H281" i="7" s="1"/>
  <c r="J365" i="7"/>
  <c r="H365" i="7" s="1"/>
  <c r="J364" i="7"/>
  <c r="H364" i="7" s="1"/>
  <c r="J363" i="7"/>
  <c r="H363" i="7" s="1"/>
  <c r="J362" i="7"/>
  <c r="H362" i="7" s="1"/>
  <c r="J361" i="7"/>
  <c r="H361" i="7" s="1"/>
  <c r="J360" i="7"/>
  <c r="H360" i="7" s="1"/>
  <c r="J359" i="7"/>
  <c r="H359" i="7" s="1"/>
  <c r="J417" i="7" l="1"/>
  <c r="H417" i="7" s="1"/>
  <c r="J172" i="7"/>
  <c r="H172" i="7" s="1"/>
  <c r="J98" i="7"/>
  <c r="H98" i="7" s="1"/>
  <c r="J93" i="7"/>
  <c r="H93" i="7" s="1"/>
  <c r="J97" i="7"/>
  <c r="H97" i="7" s="1"/>
  <c r="J96" i="7"/>
  <c r="H96" i="7" s="1"/>
  <c r="J95" i="7"/>
  <c r="H95" i="7" s="1"/>
  <c r="J94" i="7"/>
  <c r="H94" i="7" s="1"/>
  <c r="J92" i="7"/>
  <c r="H92" i="7" s="1"/>
  <c r="J91" i="7"/>
  <c r="H91" i="7" s="1"/>
  <c r="J90" i="7"/>
  <c r="H90" i="7" s="1"/>
  <c r="J89" i="7"/>
  <c r="H89" i="7" s="1"/>
  <c r="J88" i="7"/>
  <c r="H88" i="7" s="1"/>
  <c r="J87" i="7"/>
  <c r="H87" i="7" s="1"/>
  <c r="J86" i="7"/>
  <c r="H86" i="7" s="1"/>
  <c r="J120" i="7"/>
  <c r="H120" i="7" s="1"/>
  <c r="H119" i="7"/>
  <c r="J41" i="7"/>
  <c r="H41" i="7" s="1"/>
  <c r="J24" i="7"/>
  <c r="H24" i="7" s="1"/>
  <c r="J23" i="7"/>
  <c r="H23" i="7" s="1"/>
  <c r="J22" i="7"/>
  <c r="H22" i="7" s="1"/>
  <c r="J302" i="7"/>
  <c r="H302" i="7" s="1"/>
  <c r="J301" i="7"/>
  <c r="H301" i="7" s="1"/>
  <c r="J300" i="7"/>
  <c r="H300" i="7" s="1"/>
  <c r="J299" i="7"/>
  <c r="H299" i="7" s="1"/>
  <c r="J298" i="7"/>
  <c r="H298" i="7" s="1"/>
  <c r="J297" i="7"/>
  <c r="H297" i="7" s="1"/>
  <c r="J296" i="7"/>
  <c r="H296" i="7" s="1"/>
  <c r="J295" i="7"/>
  <c r="H295" i="7" s="1"/>
  <c r="J294" i="7"/>
  <c r="H294" i="7" s="1"/>
  <c r="J206" i="7"/>
  <c r="H206" i="7" s="1"/>
  <c r="J293" i="7"/>
  <c r="H293" i="7" s="1"/>
  <c r="J380" i="7"/>
  <c r="H380" i="7" s="1"/>
  <c r="J379" i="7"/>
  <c r="H379" i="7" s="1"/>
  <c r="J378" i="7"/>
  <c r="H378" i="7" s="1"/>
  <c r="J377" i="7"/>
  <c r="H377" i="7" s="1"/>
  <c r="J376" i="7"/>
  <c r="H376" i="7" s="1"/>
  <c r="J375" i="7"/>
  <c r="H375" i="7" s="1"/>
  <c r="J374" i="7"/>
  <c r="H374" i="7" s="1"/>
  <c r="J373" i="7"/>
  <c r="H373" i="7" s="1"/>
  <c r="J372" i="7"/>
  <c r="H372" i="7" s="1"/>
  <c r="J371" i="7"/>
  <c r="H371" i="7" s="1"/>
  <c r="J561" i="7"/>
  <c r="H561" i="7" s="1"/>
  <c r="J555" i="7"/>
  <c r="H555" i="7" s="1"/>
  <c r="J556" i="7"/>
  <c r="H556" i="7" s="1"/>
  <c r="E421" i="7"/>
  <c r="G421" i="7" s="1"/>
  <c r="G188" i="7"/>
  <c r="E188" i="7" s="1"/>
  <c r="G426" i="7" l="1"/>
  <c r="G477" i="7" l="1"/>
  <c r="E477" i="7" s="1"/>
  <c r="G543" i="7"/>
  <c r="E543" i="7" s="1"/>
  <c r="G263" i="7"/>
  <c r="E263" i="7" s="1"/>
  <c r="G303" i="7"/>
  <c r="G167" i="7"/>
  <c r="E167" i="7" s="1"/>
  <c r="G121" i="7"/>
  <c r="E121" i="7" s="1"/>
  <c r="G41" i="7"/>
  <c r="E41" i="7" s="1"/>
  <c r="J145" i="7" l="1"/>
  <c r="H145" i="7" s="1"/>
  <c r="J176" i="7" l="1"/>
  <c r="H176" i="7" s="1"/>
  <c r="J61" i="7"/>
  <c r="H61" i="7" s="1"/>
  <c r="J175" i="7"/>
  <c r="H175" i="7" s="1"/>
  <c r="J144" i="7"/>
  <c r="H144" i="7" s="1"/>
  <c r="J60" i="7" l="1"/>
  <c r="H60" i="7" s="1"/>
  <c r="G69" i="7" l="1"/>
  <c r="G179" i="7"/>
  <c r="E179" i="7" s="1"/>
  <c r="G404" i="7"/>
  <c r="G427" i="7"/>
  <c r="E404" i="7" l="1"/>
  <c r="E427" i="7"/>
  <c r="E69" i="7"/>
  <c r="G68" i="7"/>
  <c r="G403" i="7"/>
  <c r="E68" i="7" l="1"/>
  <c r="G178" i="7"/>
  <c r="E403" i="7"/>
  <c r="E426" i="7"/>
  <c r="E178" i="7" l="1"/>
  <c r="G177" i="7"/>
  <c r="E177" i="7" s="1"/>
  <c r="G425" i="7"/>
  <c r="G402" i="7"/>
  <c r="E425" i="7" l="1"/>
  <c r="E402" i="7"/>
  <c r="G417" i="7" l="1"/>
  <c r="E417" i="7" s="1"/>
  <c r="G565" i="7"/>
  <c r="E565" i="7" s="1"/>
  <c r="G564" i="7"/>
  <c r="E564" i="7" s="1"/>
  <c r="G563" i="7"/>
  <c r="E563" i="7" s="1"/>
  <c r="G562" i="7"/>
  <c r="E562" i="7" s="1"/>
  <c r="G162" i="7"/>
  <c r="E162" i="7" s="1"/>
  <c r="G161" i="7"/>
  <c r="E161" i="7" s="1"/>
  <c r="G500" i="7"/>
  <c r="E500" i="7" s="1"/>
  <c r="G488" i="7"/>
  <c r="E488" i="7" s="1"/>
  <c r="G492" i="7"/>
  <c r="E492" i="7" s="1"/>
  <c r="G512" i="7"/>
  <c r="E512" i="7" s="1"/>
  <c r="G207" i="7"/>
  <c r="E207" i="7" s="1"/>
  <c r="G208" i="7" l="1"/>
  <c r="E208" i="7" s="1"/>
  <c r="G394" i="7" l="1"/>
  <c r="E394" i="7" s="1"/>
  <c r="G396" i="7"/>
  <c r="E396" i="7" s="1"/>
  <c r="G416" i="7"/>
  <c r="E416" i="7" l="1"/>
  <c r="G415" i="7"/>
  <c r="E415" i="7" s="1"/>
  <c r="G414" i="7"/>
  <c r="E414" i="7" s="1"/>
  <c r="G393" i="7"/>
  <c r="E393" i="7" s="1"/>
  <c r="G392" i="7"/>
  <c r="E392" i="7" s="1"/>
  <c r="G481" i="7" l="1"/>
  <c r="E481" i="7" s="1"/>
  <c r="J501" i="7"/>
  <c r="G499" i="7"/>
  <c r="E499" i="7" s="1"/>
  <c r="G487" i="7"/>
  <c r="E487" i="7" s="1"/>
  <c r="G491" i="7"/>
  <c r="E491" i="7" s="1"/>
  <c r="G511" i="7"/>
  <c r="E511" i="7" s="1"/>
  <c r="G510" i="7"/>
  <c r="E510" i="7" s="1"/>
  <c r="G561" i="7" l="1"/>
  <c r="E561" i="7" s="1"/>
  <c r="G547" i="7"/>
  <c r="E547" i="7" s="1"/>
  <c r="G525" i="7"/>
  <c r="E525" i="7" s="1"/>
  <c r="J181" i="7" l="1"/>
  <c r="G181" i="7"/>
  <c r="H567" i="7"/>
  <c r="J567" i="7"/>
  <c r="E567" i="7"/>
  <c r="G567" i="7"/>
  <c r="G413" i="7" l="1"/>
  <c r="E413" i="7" s="1"/>
  <c r="G159" i="7" l="1"/>
  <c r="E159" i="7" s="1"/>
  <c r="G171" i="7"/>
  <c r="E171" i="7" s="1"/>
  <c r="G170" i="7"/>
  <c r="E170" i="7" s="1"/>
  <c r="G22" i="7"/>
  <c r="E22" i="7" s="1"/>
  <c r="G21" i="7"/>
  <c r="E21" i="7" s="1"/>
  <c r="G20" i="7"/>
  <c r="E20" i="7" s="1"/>
  <c r="G55" i="7"/>
  <c r="E55" i="7" s="1"/>
  <c r="G54" i="7"/>
  <c r="E54" i="7" s="1"/>
  <c r="G82" i="7"/>
  <c r="E82" i="7" s="1"/>
  <c r="G81" i="7"/>
  <c r="E81" i="7" s="1"/>
  <c r="G140" i="7"/>
  <c r="E140" i="7" s="1"/>
  <c r="G139" i="7"/>
  <c r="E139" i="7" s="1"/>
  <c r="G129" i="7"/>
  <c r="E129" i="7" s="1"/>
  <c r="G125" i="7"/>
  <c r="E125" i="7" s="1"/>
  <c r="G138" i="7"/>
  <c r="E138" i="7" s="1"/>
  <c r="G388" i="7" l="1"/>
  <c r="E388" i="7" s="1"/>
  <c r="G395" i="7"/>
  <c r="E395" i="7" s="1"/>
  <c r="G206" i="7"/>
  <c r="E206" i="7" s="1"/>
  <c r="G391" i="7"/>
  <c r="E391" i="7" s="1"/>
  <c r="G390" i="7"/>
  <c r="E390" i="7" s="1"/>
  <c r="G546" i="7" l="1"/>
  <c r="E546" i="7" s="1"/>
  <c r="G509" i="7"/>
  <c r="E509" i="7" s="1"/>
  <c r="G508" i="7"/>
  <c r="E508" i="7" s="1"/>
  <c r="G158" i="7" l="1"/>
  <c r="E158" i="7" s="1"/>
  <c r="G157" i="7"/>
  <c r="E157" i="7" s="1"/>
  <c r="G156" i="7"/>
  <c r="E156" i="7" s="1"/>
  <c r="J157" i="7"/>
  <c r="G169" i="7"/>
  <c r="E169" i="7" s="1"/>
  <c r="E146" i="7"/>
  <c r="G67" i="7"/>
  <c r="J66" i="7"/>
  <c r="H66" i="7" s="1"/>
  <c r="G66" i="7"/>
  <c r="E66" i="7" s="1"/>
  <c r="G19" i="7"/>
  <c r="E19" i="7" s="1"/>
  <c r="G18" i="7"/>
  <c r="E18" i="7" s="1"/>
  <c r="G52" i="7"/>
  <c r="E52" i="7" s="1"/>
  <c r="G50" i="7"/>
  <c r="E50" i="7" s="1"/>
  <c r="G49" i="7"/>
  <c r="E49" i="7" s="1"/>
  <c r="E53" i="7"/>
  <c r="G80" i="7"/>
  <c r="E80" i="7" s="1"/>
  <c r="G124" i="7"/>
  <c r="E124" i="7" s="1"/>
  <c r="E123" i="7"/>
  <c r="G77" i="7"/>
  <c r="E77" i="7" s="1"/>
  <c r="G76" i="7"/>
  <c r="E76" i="7" s="1"/>
  <c r="G137" i="7"/>
  <c r="E137" i="7" s="1"/>
  <c r="G136" i="7"/>
  <c r="E136" i="7" s="1"/>
  <c r="G51" i="7"/>
  <c r="E51" i="7" s="1"/>
  <c r="O78" i="7" l="1"/>
  <c r="O49" i="7"/>
  <c r="J560" i="7"/>
  <c r="J559" i="7"/>
  <c r="G559" i="7"/>
  <c r="E559" i="7" s="1"/>
  <c r="J558" i="7"/>
  <c r="H558" i="7" s="1"/>
  <c r="G558" i="7"/>
  <c r="E557" i="7" s="1"/>
  <c r="J557" i="7"/>
  <c r="G556" i="7"/>
  <c r="E556" i="7" s="1"/>
  <c r="E555" i="7"/>
  <c r="J554" i="7"/>
  <c r="H554" i="7" s="1"/>
  <c r="E554" i="7"/>
  <c r="J553" i="7"/>
  <c r="H553" i="7" s="1"/>
  <c r="G553" i="7"/>
  <c r="E553" i="7" s="1"/>
  <c r="J552" i="7"/>
  <c r="H552" i="7" s="1"/>
  <c r="G552" i="7"/>
  <c r="E552" i="7" s="1"/>
  <c r="H551" i="7"/>
  <c r="J551" i="7" s="1"/>
  <c r="E551" i="7"/>
  <c r="G551" i="7" s="1"/>
  <c r="H550" i="7"/>
  <c r="J550" i="7" s="1"/>
  <c r="E550" i="7"/>
  <c r="G550" i="7" s="1"/>
  <c r="J549" i="7"/>
  <c r="H549" i="7" s="1"/>
  <c r="J548" i="7"/>
  <c r="H548" i="7" s="1"/>
  <c r="G545" i="7"/>
  <c r="E545" i="7" s="1"/>
  <c r="D545" i="7"/>
  <c r="J542" i="7"/>
  <c r="J541" i="7"/>
  <c r="J540" i="7"/>
  <c r="J539" i="7"/>
  <c r="J538" i="7"/>
  <c r="H538" i="7" s="1"/>
  <c r="J537" i="7"/>
  <c r="G537" i="7"/>
  <c r="E537" i="7" s="1"/>
  <c r="J536" i="7"/>
  <c r="G536" i="7"/>
  <c r="E536" i="7" s="1"/>
  <c r="J535" i="7"/>
  <c r="G535" i="7"/>
  <c r="E535" i="7" s="1"/>
  <c r="J534" i="7"/>
  <c r="H534" i="7" s="1"/>
  <c r="G534" i="7"/>
  <c r="E534" i="7" s="1"/>
  <c r="J533" i="7"/>
  <c r="H533" i="7" s="1"/>
  <c r="G533" i="7"/>
  <c r="E533" i="7" s="1"/>
  <c r="J530" i="7"/>
  <c r="H530" i="7" s="1"/>
  <c r="G530" i="7"/>
  <c r="E530" i="7" s="1"/>
  <c r="J529" i="7"/>
  <c r="H529" i="7" s="1"/>
  <c r="G529" i="7"/>
  <c r="E529" i="7" s="1"/>
  <c r="J528" i="7"/>
  <c r="H528" i="7"/>
  <c r="G528" i="7"/>
  <c r="G527" i="7"/>
  <c r="J526" i="7"/>
  <c r="H526" i="7" s="1"/>
  <c r="G526" i="7"/>
  <c r="J524" i="7"/>
  <c r="J523" i="7"/>
  <c r="J522" i="7"/>
  <c r="J521" i="7"/>
  <c r="J520" i="7"/>
  <c r="H520" i="7" s="1"/>
  <c r="G520" i="7"/>
  <c r="E520" i="7" s="1"/>
  <c r="J519" i="7"/>
  <c r="H519" i="7" s="1"/>
  <c r="G519" i="7"/>
  <c r="G518" i="7"/>
  <c r="G517" i="7"/>
  <c r="G516" i="7"/>
  <c r="G515" i="7"/>
  <c r="J514" i="7"/>
  <c r="H514" i="7" s="1"/>
  <c r="J513" i="7"/>
  <c r="H513" i="7" s="1"/>
  <c r="J507" i="7"/>
  <c r="J506" i="7"/>
  <c r="J505" i="7"/>
  <c r="J504" i="7"/>
  <c r="J503" i="7"/>
  <c r="J502" i="7"/>
  <c r="J500" i="7"/>
  <c r="J499" i="7"/>
  <c r="J498" i="7"/>
  <c r="J497" i="7"/>
  <c r="J496" i="7"/>
  <c r="J495" i="7"/>
  <c r="J494" i="7"/>
  <c r="J493" i="7"/>
  <c r="J491" i="7"/>
  <c r="D490" i="7"/>
  <c r="J489" i="7"/>
  <c r="J487" i="7"/>
  <c r="D482" i="7"/>
  <c r="J481" i="7"/>
  <c r="H481" i="7" s="1"/>
  <c r="J476" i="7"/>
  <c r="H476" i="7" s="1"/>
  <c r="H475" i="7"/>
  <c r="J475" i="7" s="1"/>
  <c r="J474" i="7"/>
  <c r="J473" i="7"/>
  <c r="J472" i="7"/>
  <c r="J471" i="7"/>
  <c r="J470" i="7"/>
  <c r="G470" i="7"/>
  <c r="E470" i="7" s="1"/>
  <c r="J469" i="7"/>
  <c r="H469" i="7" s="1"/>
  <c r="G469" i="7"/>
  <c r="J468" i="7"/>
  <c r="H468" i="7" s="1"/>
  <c r="G468" i="7"/>
  <c r="J467" i="7"/>
  <c r="H467" i="7"/>
  <c r="G467" i="7"/>
  <c r="E467" i="7" s="1"/>
  <c r="G466" i="7"/>
  <c r="G465" i="7"/>
  <c r="G464" i="7"/>
  <c r="J463" i="7"/>
  <c r="G463" i="7"/>
  <c r="J462" i="7"/>
  <c r="J461" i="7"/>
  <c r="H461" i="7" s="1"/>
  <c r="J458" i="7"/>
  <c r="G458" i="7"/>
  <c r="J457" i="7"/>
  <c r="G457" i="7"/>
  <c r="J456" i="7"/>
  <c r="J455" i="7"/>
  <c r="G454" i="7"/>
  <c r="G453" i="7"/>
  <c r="J452" i="7"/>
  <c r="H452" i="7" s="1"/>
  <c r="G452" i="7"/>
  <c r="G451" i="7"/>
  <c r="G450" i="7"/>
  <c r="J449" i="7"/>
  <c r="H449" i="7" s="1"/>
  <c r="G449" i="7"/>
  <c r="J448" i="7"/>
  <c r="H448" i="7" s="1"/>
  <c r="J447" i="7"/>
  <c r="H447" i="7" s="1"/>
  <c r="G447" i="7"/>
  <c r="G446" i="7"/>
  <c r="J445" i="7"/>
  <c r="J444" i="7"/>
  <c r="J443" i="7"/>
  <c r="G443" i="7"/>
  <c r="G442" i="7"/>
  <c r="G441" i="7"/>
  <c r="G439" i="7"/>
  <c r="G438" i="7"/>
  <c r="E437" i="7"/>
  <c r="E436" i="7"/>
  <c r="G435" i="7"/>
  <c r="G434" i="7"/>
  <c r="J433" i="7"/>
  <c r="H433" i="7" s="1"/>
  <c r="G433" i="7"/>
  <c r="E433" i="7" s="1"/>
  <c r="G432" i="7"/>
  <c r="E431" i="7"/>
  <c r="G430" i="7"/>
  <c r="E430" i="7" s="1"/>
  <c r="G429" i="7"/>
  <c r="E429" i="7" s="1"/>
  <c r="G428" i="7"/>
  <c r="J424" i="7"/>
  <c r="H424" i="7" s="1"/>
  <c r="G424" i="7"/>
  <c r="E424" i="7" s="1"/>
  <c r="J423" i="7"/>
  <c r="H423" i="7" s="1"/>
  <c r="G423" i="7"/>
  <c r="E423" i="7" s="1"/>
  <c r="J422" i="7"/>
  <c r="H422" i="7" s="1"/>
  <c r="G422" i="7"/>
  <c r="E422" i="7" s="1"/>
  <c r="J421" i="7"/>
  <c r="J420" i="7"/>
  <c r="G420" i="7"/>
  <c r="J419" i="7"/>
  <c r="J415" i="7"/>
  <c r="J414" i="7"/>
  <c r="J413" i="7"/>
  <c r="J412" i="7"/>
  <c r="G412" i="7"/>
  <c r="J411" i="7"/>
  <c r="G411" i="7"/>
  <c r="J410" i="7"/>
  <c r="G410" i="7"/>
  <c r="J409" i="7"/>
  <c r="J408" i="7"/>
  <c r="G407" i="7"/>
  <c r="G406" i="7"/>
  <c r="E406" i="7" s="1"/>
  <c r="G405" i="7"/>
  <c r="J401" i="7"/>
  <c r="H401" i="7" s="1"/>
  <c r="G401" i="7"/>
  <c r="E401" i="7" s="1"/>
  <c r="J400" i="7"/>
  <c r="H400" i="7" s="1"/>
  <c r="G400" i="7"/>
  <c r="E400" i="7" s="1"/>
  <c r="J399" i="7"/>
  <c r="H399" i="7" s="1"/>
  <c r="G399" i="7"/>
  <c r="E399" i="7" s="1"/>
  <c r="H398" i="7"/>
  <c r="E398" i="7"/>
  <c r="H397" i="7"/>
  <c r="E397" i="7"/>
  <c r="G389" i="7"/>
  <c r="E389" i="7" s="1"/>
  <c r="J387" i="7"/>
  <c r="H387" i="7" s="1"/>
  <c r="D387" i="7"/>
  <c r="H386" i="7"/>
  <c r="G386" i="7"/>
  <c r="E386" i="7" s="1"/>
  <c r="D386" i="7"/>
  <c r="J385" i="7"/>
  <c r="G385" i="7"/>
  <c r="J384" i="7"/>
  <c r="H384" i="7" s="1"/>
  <c r="G384" i="7"/>
  <c r="G383" i="7"/>
  <c r="G382" i="7"/>
  <c r="G381" i="7"/>
  <c r="J341" i="7"/>
  <c r="J340" i="7"/>
  <c r="J339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09" i="7"/>
  <c r="H309" i="7" s="1"/>
  <c r="J308" i="7"/>
  <c r="J307" i="7"/>
  <c r="J306" i="7"/>
  <c r="G306" i="7"/>
  <c r="J305" i="7"/>
  <c r="G305" i="7"/>
  <c r="J304" i="7"/>
  <c r="H304" i="7" s="1"/>
  <c r="G304" i="7"/>
  <c r="J303" i="7"/>
  <c r="H303" i="7" s="1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G216" i="7"/>
  <c r="E216" i="7" s="1"/>
  <c r="J215" i="7"/>
  <c r="G215" i="7"/>
  <c r="E215" i="7" s="1"/>
  <c r="J214" i="7"/>
  <c r="G214" i="7"/>
  <c r="E214" i="7" s="1"/>
  <c r="J213" i="7"/>
  <c r="G213" i="7"/>
  <c r="E213" i="7" s="1"/>
  <c r="J212" i="7"/>
  <c r="G212" i="7"/>
  <c r="E212" i="7" s="1"/>
  <c r="J211" i="7"/>
  <c r="G211" i="7"/>
  <c r="E211" i="7" s="1"/>
  <c r="J210" i="7"/>
  <c r="G210" i="7"/>
  <c r="E210" i="7" s="1"/>
  <c r="J209" i="7"/>
  <c r="G209" i="7"/>
  <c r="G205" i="7"/>
  <c r="E201" i="7" s="1"/>
  <c r="H204" i="7"/>
  <c r="J202" i="7"/>
  <c r="H201" i="7" s="1"/>
  <c r="E200" i="7"/>
  <c r="H198" i="7"/>
  <c r="J198" i="7" s="1"/>
  <c r="H197" i="7"/>
  <c r="J197" i="7" s="1"/>
  <c r="G197" i="7"/>
  <c r="J196" i="7"/>
  <c r="G196" i="7"/>
  <c r="G195" i="7"/>
  <c r="H194" i="7"/>
  <c r="E194" i="7"/>
  <c r="J193" i="7"/>
  <c r="H193" i="7" s="1"/>
  <c r="G193" i="7"/>
  <c r="E193" i="7" s="1"/>
  <c r="J192" i="7"/>
  <c r="G192" i="7"/>
  <c r="E192" i="7" s="1"/>
  <c r="H191" i="7"/>
  <c r="E191" i="7"/>
  <c r="H190" i="7"/>
  <c r="E190" i="7"/>
  <c r="H189" i="7"/>
  <c r="G189" i="7"/>
  <c r="E189" i="7" s="1"/>
  <c r="G187" i="7"/>
  <c r="E187" i="7" s="1"/>
  <c r="G186" i="7"/>
  <c r="G185" i="7"/>
  <c r="E184" i="7"/>
  <c r="D184" i="7"/>
  <c r="H181" i="7"/>
  <c r="E181" i="7"/>
  <c r="J174" i="7"/>
  <c r="H174" i="7" s="1"/>
  <c r="J173" i="7"/>
  <c r="H173" i="7" s="1"/>
  <c r="J166" i="7"/>
  <c r="H166" i="7" s="1"/>
  <c r="J165" i="7"/>
  <c r="H165" i="7" s="1"/>
  <c r="J164" i="7"/>
  <c r="H164" i="7" s="1"/>
  <c r="G164" i="7"/>
  <c r="J163" i="7"/>
  <c r="H163" i="7" s="1"/>
  <c r="G163" i="7"/>
  <c r="J156" i="7"/>
  <c r="J155" i="7"/>
  <c r="G155" i="7"/>
  <c r="E155" i="7" s="1"/>
  <c r="J154" i="7"/>
  <c r="G154" i="7"/>
  <c r="E154" i="7" s="1"/>
  <c r="J153" i="7"/>
  <c r="G153" i="7"/>
  <c r="J152" i="7"/>
  <c r="G152" i="7"/>
  <c r="J151" i="7"/>
  <c r="G151" i="7"/>
  <c r="H146" i="7"/>
  <c r="D146" i="7"/>
  <c r="J143" i="7"/>
  <c r="H143" i="7" s="1"/>
  <c r="J142" i="7"/>
  <c r="H142" i="7" s="1"/>
  <c r="J141" i="7"/>
  <c r="G135" i="7"/>
  <c r="E135" i="7" s="1"/>
  <c r="G134" i="7"/>
  <c r="E134" i="7" s="1"/>
  <c r="D134" i="7"/>
  <c r="G133" i="7"/>
  <c r="E133" i="7" s="1"/>
  <c r="D133" i="7"/>
  <c r="G132" i="7"/>
  <c r="E132" i="7" s="1"/>
  <c r="D132" i="7"/>
  <c r="G131" i="7"/>
  <c r="E131" i="7" s="1"/>
  <c r="D131" i="7"/>
  <c r="G130" i="7"/>
  <c r="E130" i="7" s="1"/>
  <c r="D130" i="7"/>
  <c r="G128" i="7"/>
  <c r="G127" i="7"/>
  <c r="G126" i="7"/>
  <c r="E126" i="7" s="1"/>
  <c r="G122" i="7"/>
  <c r="E122" i="7" s="1"/>
  <c r="D122" i="7"/>
  <c r="J116" i="7"/>
  <c r="J115" i="7"/>
  <c r="J114" i="7"/>
  <c r="J113" i="7"/>
  <c r="G113" i="7"/>
  <c r="J112" i="7"/>
  <c r="G112" i="7"/>
  <c r="J111" i="7"/>
  <c r="G111" i="7"/>
  <c r="J110" i="7"/>
  <c r="G110" i="7"/>
  <c r="J109" i="7"/>
  <c r="G109" i="7"/>
  <c r="J108" i="7"/>
  <c r="G108" i="7"/>
  <c r="J107" i="7"/>
  <c r="G107" i="7"/>
  <c r="E107" i="7" s="1"/>
  <c r="J106" i="7"/>
  <c r="G106" i="7"/>
  <c r="E106" i="7" s="1"/>
  <c r="H105" i="7"/>
  <c r="G105" i="7"/>
  <c r="E105" i="7" s="1"/>
  <c r="J104" i="7"/>
  <c r="G104" i="7"/>
  <c r="E104" i="7" s="1"/>
  <c r="J103" i="7"/>
  <c r="G103" i="7"/>
  <c r="E103" i="7" s="1"/>
  <c r="J102" i="7"/>
  <c r="G102" i="7"/>
  <c r="E102" i="7" s="1"/>
  <c r="J101" i="7"/>
  <c r="G101" i="7"/>
  <c r="E101" i="7" s="1"/>
  <c r="J100" i="7"/>
  <c r="G100" i="7"/>
  <c r="E100" i="7" s="1"/>
  <c r="J99" i="7"/>
  <c r="G99" i="7"/>
  <c r="E99" i="7" s="1"/>
  <c r="J83" i="7"/>
  <c r="J82" i="7"/>
  <c r="J81" i="7"/>
  <c r="J80" i="7"/>
  <c r="J79" i="7"/>
  <c r="G79" i="7"/>
  <c r="E79" i="7" s="1"/>
  <c r="J78" i="7"/>
  <c r="G78" i="7"/>
  <c r="E78" i="7" s="1"/>
  <c r="D78" i="7"/>
  <c r="G74" i="7"/>
  <c r="E74" i="7" s="1"/>
  <c r="G73" i="7"/>
  <c r="G72" i="7"/>
  <c r="G71" i="7"/>
  <c r="E70" i="7"/>
  <c r="D70" i="7"/>
  <c r="E67" i="7"/>
  <c r="J65" i="7"/>
  <c r="H65" i="7" s="1"/>
  <c r="G65" i="7"/>
  <c r="E65" i="7" s="1"/>
  <c r="H64" i="7"/>
  <c r="J64" i="7" s="1"/>
  <c r="E64" i="7"/>
  <c r="G64" i="7" s="1"/>
  <c r="J63" i="7"/>
  <c r="G63" i="7"/>
  <c r="H62" i="7"/>
  <c r="J62" i="7" s="1"/>
  <c r="E62" i="7"/>
  <c r="G62" i="7" s="1"/>
  <c r="J59" i="7"/>
  <c r="H59" i="7" s="1"/>
  <c r="J58" i="7"/>
  <c r="H58" i="7" s="1"/>
  <c r="J57" i="7"/>
  <c r="J56" i="7"/>
  <c r="H56" i="7" s="1"/>
  <c r="G48" i="7"/>
  <c r="E48" i="7" s="1"/>
  <c r="G47" i="7"/>
  <c r="E47" i="7" s="1"/>
  <c r="D47" i="7"/>
  <c r="G46" i="7"/>
  <c r="E46" i="7" s="1"/>
  <c r="D46" i="7"/>
  <c r="G45" i="7"/>
  <c r="E45" i="7" s="1"/>
  <c r="D45" i="7"/>
  <c r="G44" i="7"/>
  <c r="E44" i="7" s="1"/>
  <c r="D44" i="7"/>
  <c r="G43" i="7"/>
  <c r="E43" i="7" s="1"/>
  <c r="D43" i="7"/>
  <c r="G42" i="7"/>
  <c r="J39" i="7"/>
  <c r="H39" i="7" s="1"/>
  <c r="J38" i="7"/>
  <c r="H38" i="7" s="1"/>
  <c r="J37" i="7"/>
  <c r="H37" i="7" s="1"/>
  <c r="J36" i="7"/>
  <c r="H36" i="7" s="1"/>
  <c r="G36" i="7"/>
  <c r="E36" i="7" s="1"/>
  <c r="J35" i="7"/>
  <c r="H35" i="7" s="1"/>
  <c r="G35" i="7"/>
  <c r="E35" i="7" s="1"/>
  <c r="J34" i="7"/>
  <c r="H34" i="7" s="1"/>
  <c r="G34" i="7"/>
  <c r="E34" i="7" s="1"/>
  <c r="J33" i="7"/>
  <c r="H33" i="7" s="1"/>
  <c r="G33" i="7"/>
  <c r="E33" i="7" s="1"/>
  <c r="J32" i="7"/>
  <c r="H32" i="7" s="1"/>
  <c r="G32" i="7"/>
  <c r="E32" i="7" s="1"/>
  <c r="J31" i="7"/>
  <c r="H31" i="7" s="1"/>
  <c r="G31" i="7"/>
  <c r="E31" i="7" s="1"/>
  <c r="J30" i="7"/>
  <c r="H30" i="7" s="1"/>
  <c r="J29" i="7"/>
  <c r="H29" i="7" s="1"/>
  <c r="G29" i="7"/>
  <c r="J28" i="7"/>
  <c r="H28" i="7" s="1"/>
  <c r="G28" i="7"/>
  <c r="J27" i="7"/>
  <c r="H27" i="7" s="1"/>
  <c r="G27" i="7"/>
  <c r="J19" i="7"/>
  <c r="H19" i="7" s="1"/>
  <c r="J18" i="7"/>
  <c r="H18" i="7" s="1"/>
  <c r="J17" i="7"/>
  <c r="H17" i="7" s="1"/>
  <c r="G17" i="7"/>
  <c r="E17" i="7" s="1"/>
  <c r="J16" i="7"/>
  <c r="H16" i="7" s="1"/>
  <c r="G16" i="7"/>
  <c r="E16" i="7" s="1"/>
  <c r="J15" i="7"/>
  <c r="H15" i="7" s="1"/>
  <c r="G15" i="7"/>
  <c r="J14" i="7"/>
  <c r="J13" i="7"/>
  <c r="J12" i="7"/>
  <c r="E11" i="7"/>
  <c r="E9" i="7"/>
  <c r="H106" i="7" l="1"/>
  <c r="H151" i="7"/>
  <c r="H559" i="7"/>
  <c r="H99" i="7"/>
  <c r="H78" i="7"/>
  <c r="E27" i="7"/>
  <c r="J180" i="7"/>
  <c r="J182" i="7" s="1"/>
  <c r="H12" i="7"/>
  <c r="E408" i="7"/>
  <c r="K408" i="7" s="1"/>
  <c r="E455" i="7"/>
  <c r="J566" i="7"/>
  <c r="J568" i="7" s="1"/>
  <c r="H487" i="7"/>
  <c r="E163" i="7"/>
  <c r="G180" i="7"/>
  <c r="G182" i="7" s="1"/>
  <c r="G566" i="7"/>
  <c r="G568" i="7" s="1"/>
  <c r="E15" i="7"/>
  <c r="H408" i="7"/>
  <c r="H228" i="7"/>
  <c r="H444" i="7"/>
  <c r="H221" i="7"/>
  <c r="H455" i="7"/>
  <c r="H215" i="7"/>
  <c r="H212" i="7"/>
  <c r="H209" i="7"/>
  <c r="H311" i="7"/>
  <c r="H337" i="7"/>
  <c r="H472" i="7"/>
  <c r="E468" i="7"/>
  <c r="H217" i="7"/>
  <c r="H521" i="7"/>
  <c r="H539" i="7"/>
  <c r="E127" i="7"/>
  <c r="H305" i="7"/>
  <c r="H322" i="7"/>
  <c r="H462" i="7"/>
  <c r="H470" i="7"/>
  <c r="H535" i="7"/>
  <c r="H57" i="7"/>
  <c r="H329" i="7"/>
  <c r="E108" i="7"/>
  <c r="E305" i="7"/>
  <c r="H316" i="7"/>
  <c r="E462" i="7"/>
  <c r="H192" i="7"/>
  <c r="K548" i="7"/>
  <c r="K545" i="7"/>
  <c r="L538" i="7"/>
  <c r="L519" i="7"/>
  <c r="K518" i="7"/>
  <c r="K517" i="7"/>
  <c r="L506" i="7"/>
  <c r="K505" i="7"/>
  <c r="K504" i="7"/>
  <c r="K503" i="7"/>
  <c r="K502" i="7"/>
  <c r="L452" i="7"/>
  <c r="L451" i="7"/>
  <c r="L450" i="7"/>
  <c r="L449" i="7"/>
  <c r="L448" i="7"/>
  <c r="K447" i="7"/>
  <c r="K446" i="7"/>
  <c r="L445" i="7"/>
  <c r="K444" i="7"/>
  <c r="K443" i="7"/>
  <c r="L442" i="7"/>
  <c r="K441" i="7"/>
  <c r="L440" i="7"/>
  <c r="K439" i="7"/>
  <c r="K438" i="7"/>
  <c r="K437" i="7"/>
  <c r="K436" i="7"/>
  <c r="K435" i="7"/>
  <c r="K434" i="7"/>
  <c r="K433" i="7"/>
  <c r="K429" i="7"/>
  <c r="L421" i="7"/>
  <c r="K420" i="7"/>
  <c r="L409" i="7"/>
  <c r="K406" i="7"/>
  <c r="L398" i="7"/>
  <c r="L384" i="7"/>
  <c r="L383" i="7"/>
  <c r="L382" i="7"/>
  <c r="L381" i="7"/>
  <c r="L341" i="7"/>
  <c r="L262" i="7"/>
  <c r="L200" i="7"/>
  <c r="K199" i="7"/>
  <c r="L197" i="7"/>
  <c r="K196" i="7"/>
  <c r="K195" i="7"/>
  <c r="L190" i="7"/>
  <c r="K189" i="7"/>
  <c r="K185" i="7"/>
  <c r="L152" i="7"/>
  <c r="K151" i="7"/>
  <c r="L72" i="7"/>
  <c r="K71" i="7"/>
  <c r="K70" i="7"/>
  <c r="L62" i="7"/>
  <c r="K11" i="7"/>
  <c r="H180" i="7" l="1"/>
  <c r="H182" i="7" s="1"/>
  <c r="H566" i="7"/>
  <c r="H568" i="7" s="1"/>
  <c r="J569" i="7"/>
  <c r="E566" i="7"/>
  <c r="E568" i="7" s="1"/>
  <c r="E180" i="7"/>
  <c r="E182" i="7" s="1"/>
  <c r="G569" i="7"/>
  <c r="K204" i="7"/>
  <c r="K184" i="7"/>
  <c r="L186" i="7"/>
  <c r="L555" i="7" s="1"/>
  <c r="K9" i="7"/>
  <c r="E569" i="7" l="1"/>
  <c r="H569" i="7"/>
  <c r="K555" i="7"/>
  <c r="K556" i="7" s="1"/>
  <c r="K558" i="7" s="1"/>
  <c r="K182" i="7"/>
  <c r="L12" i="7"/>
  <c r="L182" i="7" s="1"/>
  <c r="L556" i="7" s="1"/>
  <c r="L558" i="7" s="1"/>
  <c r="K8" i="7" l="1"/>
  <c r="K4" i="7" s="1"/>
</calcChain>
</file>

<file path=xl/sharedStrings.xml><?xml version="1.0" encoding="utf-8"?>
<sst xmlns="http://schemas.openxmlformats.org/spreadsheetml/2006/main" count="919" uniqueCount="658">
  <si>
    <t>ОТЧЕТ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</si>
  <si>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</si>
  <si>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</si>
  <si>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</si>
  <si>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</si>
  <si>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</si>
  <si>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</si>
  <si>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</si>
  <si>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</si>
  <si>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</si>
  <si>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</si>
  <si>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</si>
  <si>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</si>
  <si>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__</t>
  </si>
  <si>
    <t>ПИР, СМР. Строительство сетей водоснабжения в микрорайоне Никольское</t>
  </si>
  <si>
    <t>ООО "ЭкоСтрой"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</si>
  <si>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</si>
  <si>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</si>
  <si>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</si>
  <si>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</si>
  <si>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</si>
  <si>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ООО "Укрепрайон"</t>
  </si>
  <si>
    <t>АО "МАЙ ПРОЕКТ"</t>
  </si>
  <si>
    <t>ПИР, СМР. Строительство канализационных сетей и сооружений в микрорайоне Никольское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</si>
  <si>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</si>
  <si>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Строительство Сочинского коллектора</t>
  </si>
  <si>
    <t>Создание гидравлической модели работы системы водоотведения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</si>
  <si>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</si>
  <si>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</si>
  <si>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</si>
  <si>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</si>
  <si>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Справочно</t>
  </si>
  <si>
    <t>Структура финансовых потоков по инвестиционной программе (ИП), тыс.руб.</t>
  </si>
  <si>
    <t>Показатель</t>
  </si>
  <si>
    <t>Начисление</t>
  </si>
  <si>
    <t>Финансирование</t>
  </si>
  <si>
    <t xml:space="preserve">Выполнение / Финансирование мероприятий ИП, с НДС </t>
  </si>
  <si>
    <t>Привлечение кредитов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</si>
  <si>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</si>
  <si>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</si>
  <si>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</si>
  <si>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</si>
  <si>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</si>
  <si>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</si>
  <si>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>Выручка по ВиВ в части инвест составляющей с НДС / Поступление выручки по ВиВ в части инвест составляющей с НДС за вычетом резерва по дебиторской задолженности</t>
  </si>
  <si>
    <t xml:space="preserve">Финансовый директор </t>
  </si>
  <si>
    <t>Е.С. Александрова</t>
  </si>
  <si>
    <t>ИП Строительство цеха механического обезвоживания осадка (ЦМО) на ПОС ПИР.СМР.</t>
  </si>
  <si>
    <t>ООО УК "РОСВОДОКАНАЛ"</t>
  </si>
  <si>
    <t>№ 138/14 от 12.03.2014г.</t>
  </si>
  <si>
    <t>№ 361/17 от 29.06.2017</t>
  </si>
  <si>
    <t>ПИР, СМР. Реконструкция очистных сооружений с деманганацией подземных вод на ВПС-12 (инв. №10000234)</t>
  </si>
  <si>
    <t>ПИР, СМР. Реконструкция очистных сооружений с деманганацией подземных вод на ВПС-8 (инв. №10000137)</t>
  </si>
  <si>
    <t>ООО "Полипластик Поволжье"</t>
  </si>
  <si>
    <t>ПИР, СМР. Реконструкция канализационной линии по ул. Дубровина Д=250-450мм протяжённостью L=1700 п.м. (инв. №30014578 «Канализационные сети Левобережного района»)</t>
  </si>
  <si>
    <t>№ 653/17 от 11.10.2017</t>
  </si>
  <si>
    <t>Реконструкция участка канализационных сетей п. Первого мая</t>
  </si>
  <si>
    <t>№840/17 от 15.12.2017</t>
  </si>
  <si>
    <t>№855/17 от 20.12.2017</t>
  </si>
  <si>
    <t>ФГБУ "Центр лабораторного анализа и технических измерений по Центральному федеральному округу"</t>
  </si>
  <si>
    <t>№843/17 от 15.12.2017</t>
  </si>
  <si>
    <t>№862/17 от 21.12.2017</t>
  </si>
  <si>
    <t xml:space="preserve">Реконструкция канализационного дюкера по ул.Серова </t>
  </si>
  <si>
    <t>№728/17 от 14.11.2017</t>
  </si>
  <si>
    <t xml:space="preserve"> №861/17 от 21.12.2017</t>
  </si>
  <si>
    <t>№695/17 от 27.10.2017</t>
  </si>
  <si>
    <t xml:space="preserve">ООО БМА Руссланд </t>
  </si>
  <si>
    <t>ООО "ВАГ-Арматурен Рус"</t>
  </si>
  <si>
    <t>ООО "КОРПОРАЦИЯ МЕТАЛЛИНВЕСТ"</t>
  </si>
  <si>
    <t>ООО "Ариэль Металл"</t>
  </si>
  <si>
    <t>№468/15 от 16.10.2015</t>
  </si>
  <si>
    <t>№427/15 от 30.09.2015</t>
  </si>
  <si>
    <t>Капитализация процентов январь</t>
  </si>
  <si>
    <t>Капитализация процентов февраль</t>
  </si>
  <si>
    <t xml:space="preserve"> №845/17 от 15.12.2017</t>
  </si>
  <si>
    <t>№47/17 от 03.02.17</t>
  </si>
  <si>
    <t>№48/17 от 02.02.17</t>
  </si>
  <si>
    <t>№52/17 от 06.02.17</t>
  </si>
  <si>
    <t>№53/17 от 06.02.17</t>
  </si>
  <si>
    <t>№ 56/17 от 07.02.2017</t>
  </si>
  <si>
    <t>ООО "ГЕА Вестфалия Сепаратор Си Ай Эс"</t>
  </si>
  <si>
    <t>ООО "Промкабель"</t>
  </si>
  <si>
    <t>ООО "МАГИСТРАЛЬ ТЕЛЕКОМ"</t>
  </si>
  <si>
    <t>ООО "КАМАЗТЕХОБСЛУЖИВАНИЕ"</t>
  </si>
  <si>
    <t>ООО "Гидропомпа"</t>
  </si>
  <si>
    <t>70,330                   в месяц</t>
  </si>
  <si>
    <t>№754/17 от 22.11.2017</t>
  </si>
  <si>
    <t>№772/17 от 28.11.2017</t>
  </si>
  <si>
    <t>№688/17 от 25.10.2017</t>
  </si>
  <si>
    <t>№729/17 от 14.11.2017</t>
  </si>
  <si>
    <t xml:space="preserve"> №775/17 от 28.11.2017</t>
  </si>
  <si>
    <t>№778/17 от 28.11.2017</t>
  </si>
  <si>
    <t>№749/17 от 20.11.2017</t>
  </si>
  <si>
    <t>№ 738/17 от 17.11.2017</t>
  </si>
  <si>
    <t>№879/17 от 26.12.2017</t>
  </si>
  <si>
    <t>№ 138/14 от 12.03.2014</t>
  </si>
  <si>
    <t>Давальческий материал (январь)</t>
  </si>
  <si>
    <t>МКП "УПРАВЛЕНИЕ ГЛАВНОГО АРХИТЕКТОРА"</t>
  </si>
  <si>
    <t>ООО "Новый проект"</t>
  </si>
  <si>
    <t>ООО "Формматериалы"</t>
  </si>
  <si>
    <t>ООО "Инекс"</t>
  </si>
  <si>
    <t>ООО "Бурспецмонтаж"</t>
  </si>
  <si>
    <t>ООО "ВоронежТехСтрой"</t>
  </si>
  <si>
    <t>ООО "СК Инженерные сети"</t>
  </si>
  <si>
    <t>АО "Электроагрегат"</t>
  </si>
  <si>
    <t xml:space="preserve">№702/17 от 31.10.2017 </t>
  </si>
  <si>
    <t>ТД Глобус</t>
  </si>
  <si>
    <t>№894/17 от 28.12.2017</t>
  </si>
  <si>
    <t>№115/18 от 16.01.2018</t>
  </si>
  <si>
    <t xml:space="preserve">  ОАО "РЖД"</t>
  </si>
  <si>
    <t>№433/17 от 25.07.2017</t>
  </si>
  <si>
    <t>ООО "Гнб36строй"</t>
  </si>
  <si>
    <t>№750/17 от 20.11.2017</t>
  </si>
  <si>
    <t>№337/16 от 21.07.16</t>
  </si>
  <si>
    <t>ООО НПП "Компьютерные технологии"</t>
  </si>
  <si>
    <t>Капитализация процентов (февраль)</t>
  </si>
  <si>
    <t>Капитализация процентов (январь)</t>
  </si>
  <si>
    <t>540/16 от 03.11.2016</t>
  </si>
  <si>
    <t>ООО "Технологии 21 век"</t>
  </si>
  <si>
    <t>ООО "Стройинжиниринг"</t>
  </si>
  <si>
    <t xml:space="preserve"> №642/17 от 09.10.2017</t>
  </si>
  <si>
    <t>№107 от 12.01.2018</t>
  </si>
  <si>
    <t>№712/17 от 09.11.2017</t>
  </si>
  <si>
    <t>№396 от 26.01.2018</t>
  </si>
  <si>
    <t>№365/16 от 08.08.2016</t>
  </si>
  <si>
    <t>№434 от 29.01.2018</t>
  </si>
  <si>
    <t>корректировка долга</t>
  </si>
  <si>
    <t>№880/17 от 26.12.2017</t>
  </si>
  <si>
    <t>ООО "Промышленные технологии"</t>
  </si>
  <si>
    <t>ООО "СК ЕВРОМОНТАЖ"</t>
  </si>
  <si>
    <t>ООО "ЭНЕРГОСТРОЙ"</t>
  </si>
  <si>
    <t>№2026 от 19.03.2018</t>
  </si>
  <si>
    <t>№2259 от 26.03.2018</t>
  </si>
  <si>
    <t>Капитализация процентов (март)</t>
  </si>
  <si>
    <t>№88/18 от 16.01.2018</t>
  </si>
  <si>
    <t xml:space="preserve">ООО  Торговый дом  "ПРОТЭК Стройкомплект" </t>
  </si>
  <si>
    <t>Давальческий материал (март)</t>
  </si>
  <si>
    <t>Капитализация процентов март</t>
  </si>
  <si>
    <t>№1687 от 16.03.2018</t>
  </si>
  <si>
    <t>№1688 от 16.03.2018</t>
  </si>
  <si>
    <t>№741/17 от 17.11.2017</t>
  </si>
  <si>
    <t>№1689 от 16.03.2018</t>
  </si>
  <si>
    <t>№1974 от 16.03.2018</t>
  </si>
  <si>
    <t>№2852 от 30.03.2018</t>
  </si>
  <si>
    <t>№21 от 09.01.2018</t>
  </si>
  <si>
    <t>Отчет агента за январь 2018</t>
  </si>
  <si>
    <t xml:space="preserve">446 от 29.01.2018 </t>
  </si>
  <si>
    <t>445 от 29.01.2018</t>
  </si>
  <si>
    <t>январь</t>
  </si>
  <si>
    <t>8 тд</t>
  </si>
  <si>
    <t>КС-2, КС-3 №3 от 19.01.2018</t>
  </si>
  <si>
    <t>КС-2, КС-3 №3 от 25.01.2018</t>
  </si>
  <si>
    <t>КС-2, КС-3 №6 от 22.01.2018</t>
  </si>
  <si>
    <t>КС-3 №2 от 31.01.2018, КС-2 №14 от 31.01.2018</t>
  </si>
  <si>
    <t>КС-3, КС-2 №13 от 31.01.2018</t>
  </si>
  <si>
    <t>КС-2, КС-3 №4 от 31.01.2018</t>
  </si>
  <si>
    <t>Акт №1 от 08.02.2018</t>
  </si>
  <si>
    <t>Акт №3 от 28.02.2018</t>
  </si>
  <si>
    <t>Акт №2 от 29.01.2018</t>
  </si>
  <si>
    <t>Акт №4 от 26.03.2018</t>
  </si>
  <si>
    <t>Акт №0000-003539 от 28.02.2018</t>
  </si>
  <si>
    <t>КС-3, КС-2 №14 от 28.02.2018</t>
  </si>
  <si>
    <t>КС-3 №3 от 28.02.2018, КС-2 №27 от 28.02.2018</t>
  </si>
  <si>
    <t>Отчет агента за февраль 2018</t>
  </si>
  <si>
    <t>КС-2, КС-3 №1 от 30.03.2018</t>
  </si>
  <si>
    <t>КС-3 ;4 от 30.03.2018, КС-2 №28 от 26.03.2018</t>
  </si>
  <si>
    <t>КС-3, КС-2 №15 от 30.03.2018</t>
  </si>
  <si>
    <t>КС-2, КС-3 №3 от 30.03.2018</t>
  </si>
  <si>
    <t>КС-2, КС-3 №2 от 30.03.2018</t>
  </si>
  <si>
    <t>Акт №30 от 31.01.2018</t>
  </si>
  <si>
    <t>Акт №104 от 31.03.2018</t>
  </si>
  <si>
    <t>Акт №68 от 28.0.2018</t>
  </si>
  <si>
    <t>835/17от 12.12.2017 (поставка аэраторов)</t>
  </si>
  <si>
    <t>870/17 от 25.12.2017 (СМР)</t>
  </si>
  <si>
    <t>№834/17от 12.12.2017 (поставка аэраторов)</t>
  </si>
  <si>
    <t>№871/17 от 25.12.2017 (СМР)</t>
  </si>
  <si>
    <t xml:space="preserve">Налог на прибыль </t>
  </si>
  <si>
    <t>Отчет по давальческому материалу от 30.03.2018</t>
  </si>
  <si>
    <t>Отчет по давальческому материалу от 31.01.2018</t>
  </si>
  <si>
    <t>Товарная накладная №43 от 18.01.2018</t>
  </si>
  <si>
    <t>Товарная накладная №84 от 15.02.2018</t>
  </si>
  <si>
    <t>Товарная накладная №54 от 24.01.2018</t>
  </si>
  <si>
    <t>Товарная накладная №79 от 06.02.2018</t>
  </si>
  <si>
    <t>Акт №19 от 31.01.2018</t>
  </si>
  <si>
    <t>Акт №28 от 31.01.2018</t>
  </si>
  <si>
    <t>Товарная накладная №180 от 06.03.2018</t>
  </si>
  <si>
    <t>Товарная накладная №181 от 26.03.2018</t>
  </si>
  <si>
    <t>Товарная накладная №201 от 30.03.2018</t>
  </si>
  <si>
    <t>Товарная накладная №11 от 20.02.2018</t>
  </si>
  <si>
    <t>Товарная накладная №10 от 20.02.2018</t>
  </si>
  <si>
    <t>УПД № 34-004 от 03.02.2018</t>
  </si>
  <si>
    <t>УПД № 31 от 28.02.2018</t>
  </si>
  <si>
    <t>УПД № 22 от 20.02.2018</t>
  </si>
  <si>
    <t>УПД № 57-009 от 26.02.2018</t>
  </si>
  <si>
    <t>УПД № 52-053 от 21.02.2018</t>
  </si>
  <si>
    <t>УПД № 51-012  от 20.02.2018</t>
  </si>
  <si>
    <t>УПД №34-005  от 03.02.2018</t>
  </si>
  <si>
    <t xml:space="preserve">№409 от 26.01.2018 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</si>
  <si>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                         на 2012 – 2018 годы (в рамках реализации Концессионного соглашения от 23.03.2012 г)» ООО "РВК-Воронеж"</t>
  </si>
  <si>
    <t>Отчеты от 19.01.2018, 31.01.2018</t>
  </si>
  <si>
    <t>Отчет по дав.материалу от 30.03.2018</t>
  </si>
  <si>
    <t>№2972 от 09.04.2018</t>
  </si>
  <si>
    <t>№3147 от 16.04.2018</t>
  </si>
  <si>
    <t>№99/18 от 17.01.2018</t>
  </si>
  <si>
    <t>№93/18 от 17.01.2018</t>
  </si>
  <si>
    <t xml:space="preserve">№2881 от 02.04.2018 </t>
  </si>
  <si>
    <t>№2931 от 06.04.2018</t>
  </si>
  <si>
    <t>№97/18 от 17.01.2018</t>
  </si>
  <si>
    <t>№113/18 от 23.01.2018</t>
  </si>
  <si>
    <t>№3780 от 20.04.2018</t>
  </si>
  <si>
    <t>№3968 от 27.04.2018</t>
  </si>
  <si>
    <t>Капитализация процентов (апрель)</t>
  </si>
  <si>
    <t>№2880 от 02.04.2018</t>
  </si>
  <si>
    <t>№96/18 от 17.01.2018</t>
  </si>
  <si>
    <t>№2929 от 06.04.2018</t>
  </si>
  <si>
    <t>№2930 от 06.04.2018</t>
  </si>
  <si>
    <t>№3143 от 16.04.2018</t>
  </si>
  <si>
    <t>№727/17 от 14.11.2017</t>
  </si>
  <si>
    <t xml:space="preserve">№3105 от 12.04.2018 </t>
  </si>
  <si>
    <t>№4028 от 28.04.2018</t>
  </si>
  <si>
    <t>ООО "ТЕХСТРОЙ"</t>
  </si>
  <si>
    <t>ООО "ПК "АИР-ГАЗ"</t>
  </si>
  <si>
    <t>ООО "ПОЛИПЛАСТИК Поволжье"</t>
  </si>
  <si>
    <t>Капитализация процентов апрель</t>
  </si>
  <si>
    <t>№2957 от 06.04.2018</t>
  </si>
  <si>
    <t>№3893 от 24.04.2018</t>
  </si>
  <si>
    <t>№3128 от 13.04.2018</t>
  </si>
  <si>
    <t>№3982 от 27.04.2018</t>
  </si>
  <si>
    <t>№2956 от 06.04.2018</t>
  </si>
  <si>
    <t>№3895 от 24.04.2018</t>
  </si>
  <si>
    <t>ПИР, СМР. Реконструкция главного Левобережного коллектора Д-2000 мм (инв. №30014578 «Канализационные сети Левобережного района»)</t>
  </si>
  <si>
    <t>№3899 от 24.04.2018</t>
  </si>
  <si>
    <t>№430/16 от 20.09.2016</t>
  </si>
  <si>
    <t>№16/18 от 10.01.2018</t>
  </si>
  <si>
    <t>ООО "Производственная фирма "СТИС""</t>
  </si>
  <si>
    <t>№2955 от 06.04.2018</t>
  </si>
  <si>
    <t>№2960 от 06.04.2018</t>
  </si>
  <si>
    <t xml:space="preserve">№1307 от 27.02.2018 </t>
  </si>
  <si>
    <t>№3894 от 24.04.2018</t>
  </si>
  <si>
    <t>№3896 от 24.04.2018</t>
  </si>
  <si>
    <t>№3898 от 24.04.2018</t>
  </si>
  <si>
    <t>№3897 от 24.04.2018</t>
  </si>
  <si>
    <t>№2959 от 06.04.2018</t>
  </si>
  <si>
    <t>№3892 от 24.04.2018</t>
  </si>
  <si>
    <t>ООО "Производственная Компания "АИР-ГАЗ"</t>
  </si>
  <si>
    <t>ООО Группа Компаний "ПЛАСТИК"</t>
  </si>
  <si>
    <t>ООО "Аргу-фитинг"</t>
  </si>
  <si>
    <t>ООО "НПП "СВПРК"</t>
  </si>
  <si>
    <t>ООО КСП "ПроектКонсалтинг"</t>
  </si>
  <si>
    <t>№ 106/18 от 18.01.2018</t>
  </si>
  <si>
    <t>Капитализация процентов (май)</t>
  </si>
  <si>
    <t>Давальческий материал (май)</t>
  </si>
  <si>
    <t>№3106 от 12.04.2018</t>
  </si>
  <si>
    <t>№4133 от 07.05.2018</t>
  </si>
  <si>
    <t>№4379 от 10.05.2018</t>
  </si>
  <si>
    <t>№11398 от 28.05.2018</t>
  </si>
  <si>
    <t>№11457 от 30.05.2018</t>
  </si>
  <si>
    <t>№11460 от 30.05.2018</t>
  </si>
  <si>
    <t>Капитализация процентов май</t>
  </si>
  <si>
    <t>№104/18 от 17.01.2018</t>
  </si>
  <si>
    <t>№11400 от 28.05.2018</t>
  </si>
  <si>
    <t>ООО ИКСЭП</t>
  </si>
  <si>
    <t>№1300 от 27.02.2018</t>
  </si>
  <si>
    <t>№11458 от 30.05.2018</t>
  </si>
  <si>
    <t>№11459 от 30.05.2018</t>
  </si>
  <si>
    <t>№2045 от 20.03.2018 (часть)</t>
  </si>
  <si>
    <t>№4132 от 07.05.2018</t>
  </si>
  <si>
    <t>№1450 от 06.03.2018</t>
  </si>
  <si>
    <t>ООО "Инженерные системы 2000"</t>
  </si>
  <si>
    <t>№106 от 12.01.2018</t>
  </si>
  <si>
    <t>№369 от 25.01.2018</t>
  </si>
  <si>
    <t>№1207 от 21.02.2018</t>
  </si>
  <si>
    <t>№1449 от 06.03.2018</t>
  </si>
  <si>
    <t>№2033 от 20.03.2018 (часть)</t>
  </si>
  <si>
    <t xml:space="preserve">№410 от 26.01.2018 </t>
  </si>
  <si>
    <t xml:space="preserve">№1170 от 20.02.2018 </t>
  </si>
  <si>
    <t xml:space="preserve">№1171 от 20.02.2018 </t>
  </si>
  <si>
    <t>№232 от 19.01.2018</t>
  </si>
  <si>
    <t>№393 от 26.01.2018</t>
  </si>
  <si>
    <t>№1283 от 26.02.2018</t>
  </si>
  <si>
    <t>№433 от 29.01.2018</t>
  </si>
  <si>
    <t>№457 от 29.01.2018</t>
  </si>
  <si>
    <t>№753 от 13.02.2018</t>
  </si>
  <si>
    <t>№406 от 26.01.2018</t>
  </si>
  <si>
    <t>№1342 от 28.02.2018</t>
  </si>
  <si>
    <t xml:space="preserve">№502 от 31.01.2018 </t>
  </si>
  <si>
    <t>№755 от 13.02.2018</t>
  </si>
  <si>
    <t>№756 от 13.02.2018</t>
  </si>
  <si>
    <t>№1304 от 27.02.2018</t>
  </si>
  <si>
    <t xml:space="preserve">№1305 от 27.02.2018 </t>
  </si>
  <si>
    <t xml:space="preserve">№1308 от 27.02.2018 </t>
  </si>
  <si>
    <t xml:space="preserve">№1309 от 27.02.2018 </t>
  </si>
  <si>
    <t>№398 от 26.01.2018</t>
  </si>
  <si>
    <t xml:space="preserve">№386 от 26.01.2018 </t>
  </si>
  <si>
    <t xml:space="preserve">№561 от 05.02.2018 </t>
  </si>
  <si>
    <t>№397 от 26.01.2018</t>
  </si>
  <si>
    <t>№387 от 26.01.2018</t>
  </si>
  <si>
    <t xml:space="preserve">№388 от 26.01.2018 </t>
  </si>
  <si>
    <t>№390 от 26.01.2018</t>
  </si>
  <si>
    <t>№392 от 26.01.2018</t>
  </si>
  <si>
    <t>№395 от 26.01.2018</t>
  </si>
  <si>
    <t>№394 от 26.01.2018</t>
  </si>
  <si>
    <t>№399 от 26.01.2018</t>
  </si>
  <si>
    <t>№1303 от 27.02.2018</t>
  </si>
  <si>
    <t>№400 от 26.01.2018</t>
  </si>
  <si>
    <t xml:space="preserve">№1302 от 27.02.2018 </t>
  </si>
  <si>
    <t>№401 от 26.01.2018</t>
  </si>
  <si>
    <t xml:space="preserve">№402 от 26.01.2018 </t>
  </si>
  <si>
    <t>№768 от 14.02.2018</t>
  </si>
  <si>
    <t xml:space="preserve">№403 от 26.01.2018 </t>
  </si>
  <si>
    <t>№404 от 26.01.2018</t>
  </si>
  <si>
    <t>№767 от 14.02.2018</t>
  </si>
  <si>
    <t>№550 от 05.02.2018</t>
  </si>
  <si>
    <t>№562 от 05.02.2018</t>
  </si>
  <si>
    <t>№11159 от 22.05.2018</t>
  </si>
  <si>
    <t xml:space="preserve">№389 от 26.01.2018 </t>
  </si>
  <si>
    <t>№391 от 26.01.2018</t>
  </si>
  <si>
    <t xml:space="preserve">№1301 от 27.02.2018 </t>
  </si>
  <si>
    <t xml:space="preserve">№81 от 26.01.2018 </t>
  </si>
  <si>
    <t>№1306 от 27.02.2018</t>
  </si>
  <si>
    <t>№11476 от 31.05.2018</t>
  </si>
  <si>
    <t>КС-3 №5 от 30.04.2018, КС-2 №40-47 от 30.04.2018</t>
  </si>
  <si>
    <t>КС-3 №6 от 15.05.2018, КС-2 №48-52 от 15.05.2018</t>
  </si>
  <si>
    <t>КС-3 №7 от 31.05.2018, КС-2 №53-61 от 31.05.2018</t>
  </si>
  <si>
    <t>КС-2, КС-3 №4 от 31.05.2018</t>
  </si>
  <si>
    <t>КС-2, КС-3 №5 от 31.05.2018</t>
  </si>
  <si>
    <t>КС-2, КС-3 №6 от 30.05.2018</t>
  </si>
  <si>
    <t>КС-3 №16 от 30.04.2018, КС-2 №16/1, 16/2 от 30.04.2018</t>
  </si>
  <si>
    <t>№11950 от 13.06.2018</t>
  </si>
  <si>
    <t>№12185 от 18.06.2018</t>
  </si>
  <si>
    <t>№12195 от 18.06.2018</t>
  </si>
  <si>
    <t>№12576 от 20.06.2018</t>
  </si>
  <si>
    <t>№12600 от 21.06.2018</t>
  </si>
  <si>
    <t>№12820 от 22.06.2018</t>
  </si>
  <si>
    <t>№12821 от 22.06.2018</t>
  </si>
  <si>
    <t>№12822 от 22.06.2018</t>
  </si>
  <si>
    <t>№12824 от 22.06.2018</t>
  </si>
  <si>
    <t>№509/18 от 20.06.2018</t>
  </si>
  <si>
    <t>№12826 от 22.06.2018</t>
  </si>
  <si>
    <t>№12825 от 22.06.2018</t>
  </si>
  <si>
    <t>№422/18 от 28.05.2018</t>
  </si>
  <si>
    <t>№13429 от 29.06.2018</t>
  </si>
  <si>
    <t>№13431 от 29.06.2018</t>
  </si>
  <si>
    <t>№13435 от 29.06.2018</t>
  </si>
  <si>
    <t>№13436 от 29.06.2018</t>
  </si>
  <si>
    <t>№13438 от 29.06.2018</t>
  </si>
  <si>
    <t>ООО "ИТС Полимер"</t>
  </si>
  <si>
    <t>№13441 от 29.06.2018</t>
  </si>
  <si>
    <t>Давальческий материал (июнь)</t>
  </si>
  <si>
    <t>Капитализация процентов (июнь)</t>
  </si>
  <si>
    <t>Капитализация процентов июнь</t>
  </si>
  <si>
    <t>№1177 от 01.06.2018</t>
  </si>
  <si>
    <t>№2381 от 01.06.2018</t>
  </si>
  <si>
    <t>ООО "Максимум"</t>
  </si>
  <si>
    <t>ООО «СМУ «Картель»</t>
  </si>
  <si>
    <t>№13419 от 29.06.2018</t>
  </si>
  <si>
    <t>№13420 от 29.06.2018</t>
  </si>
  <si>
    <t xml:space="preserve">Создание автоматической системы управления технологического процесса работы системы подачи и распределения воды (АСУ ТП ПРВ) </t>
  </si>
  <si>
    <t>№ 187/16 от 06.05.2016</t>
  </si>
  <si>
    <t>Корректировка долга</t>
  </si>
  <si>
    <t>№13412 от 28.06.2018</t>
  </si>
  <si>
    <t>№12823 от 22.06.2018</t>
  </si>
  <si>
    <t>№103/18 от 17.01.2018</t>
  </si>
  <si>
    <t>Ф-00977 от 23.05.2018</t>
  </si>
  <si>
    <t>ООО "Геоцентр"</t>
  </si>
  <si>
    <t>АО "Системы управления"</t>
  </si>
  <si>
    <t>№528/18  от 29.06.2018</t>
  </si>
  <si>
    <t>КС-2, КС-3 №4 от 30.04.2018</t>
  </si>
  <si>
    <t>с/ф №409 от 15.06.2018</t>
  </si>
  <si>
    <t>с/ф №415 от 15.06.2018</t>
  </si>
  <si>
    <t>акт №246 от 30.04.2018</t>
  </si>
  <si>
    <t>акт № 246 от 30.05.2018</t>
  </si>
  <si>
    <t>акт №368 от 30.06.2018</t>
  </si>
  <si>
    <t>акт №79 от 30.06.2018</t>
  </si>
  <si>
    <t>Давальческий материал (апрель)</t>
  </si>
  <si>
    <t>Отчет по давальческому материалу от 30.04.2018</t>
  </si>
  <si>
    <t>Отчет по давальческому материалу от 30.05.2018</t>
  </si>
  <si>
    <t>КС-2, КС-3 №2 от 30.04.2018</t>
  </si>
  <si>
    <t>КС-2, КС-3  №3 от 30.04.2018</t>
  </si>
  <si>
    <t>КС-2, КС-3 №9 от 15.06.2018</t>
  </si>
  <si>
    <t>КС-2, КС-3 №10 от 15.06.2018</t>
  </si>
  <si>
    <t>Товарная накладная №253 от 30.04.2018</t>
  </si>
  <si>
    <t>Товарная накладная №234 от 30.04.2018</t>
  </si>
  <si>
    <t>Товарная накладная №226 от 30.04.2018</t>
  </si>
  <si>
    <t>КС-2, КС-3 №1 от 15.06.2018</t>
  </si>
  <si>
    <t>акт №211 от 31.03.2018</t>
  </si>
  <si>
    <t>акт №247  от 30.04.2018</t>
  </si>
  <si>
    <t>акт №246 от 31.05.2018</t>
  </si>
  <si>
    <t>Отчет по дав.материалу от 30.04.2018</t>
  </si>
  <si>
    <t>Отчет по дав.материалу от 15.06.2018</t>
  </si>
  <si>
    <t>акт №1 от 29.06.2018</t>
  </si>
  <si>
    <t>КС-2, КС-3 №7 от 25.05.2018</t>
  </si>
  <si>
    <t>КС-2, КС-3 №8 от 25.05.2018</t>
  </si>
  <si>
    <t>КС-2, КС-3 №9 от 29.06.2018</t>
  </si>
  <si>
    <t>КС-2, КС-3 №10 от 29.06.2018</t>
  </si>
  <si>
    <t>КС-2, КС-3 №11 от 29.06.2018</t>
  </si>
  <si>
    <t>акт №21 от 31.01.2018</t>
  </si>
  <si>
    <t>Отчет по дав.материалу от 25.05.2018</t>
  </si>
  <si>
    <t>Отчет по дав.материалу от 29.06.2018</t>
  </si>
  <si>
    <t>Акт №6 от 28.06.2018</t>
  </si>
  <si>
    <t>Акт №5 от 21.05.2018</t>
  </si>
  <si>
    <t xml:space="preserve">Отчет агента за февраль 2018 </t>
  </si>
  <si>
    <t>акт №92 от 28.02.2018</t>
  </si>
  <si>
    <t>акт №408 от 30.06.2018</t>
  </si>
  <si>
    <t>КС-2,КС-3 №9 от 29.06.2018</t>
  </si>
  <si>
    <t>КС-2,КС-3 №8 от 30.06.2018</t>
  </si>
  <si>
    <t>КС-2,КС-3 №10 от 30.06.2018</t>
  </si>
  <si>
    <t>КС-2,КС-3 №11 от 30.06.2018</t>
  </si>
  <si>
    <t>КС-2,КС-3 №12 от 30.06.2018</t>
  </si>
  <si>
    <t>КС-2,КС-3 №13 от 30.06.2018</t>
  </si>
  <si>
    <t>КС-2,КС-3 №14 от 30.06.2018</t>
  </si>
  <si>
    <t>от 28.04.2018</t>
  </si>
  <si>
    <t>акт №34 от 29.06.2018</t>
  </si>
  <si>
    <t>КС-3, КС-2 №17 от 31.05.2018</t>
  </si>
  <si>
    <t>акт №4 от 02.04.2018</t>
  </si>
  <si>
    <t>акт № 080-2/2017-РВК от 30.04.2018</t>
  </si>
  <si>
    <t>КС-2, КС-3 №4 от 29.06.2018</t>
  </si>
  <si>
    <t>КС-2,КС-3 №1 от 30.06.2018</t>
  </si>
  <si>
    <t>№479/18 от 09.06.2018 на сумму 5 270 тыс. руб.</t>
  </si>
  <si>
    <t>КС-2,КС-3 №2 от 30.06.2018</t>
  </si>
  <si>
    <t>доп. соглдашение 602/18 от 30.07.2018</t>
  </si>
  <si>
    <t>КС-2,КС-3 №2 от 30.06.2019</t>
  </si>
  <si>
    <t xml:space="preserve">№480/18 от 09.06.2018 на сумму 4392,62 </t>
  </si>
  <si>
    <t>КС-2,КС-3 №1 от 29.06.2018</t>
  </si>
  <si>
    <t>КС-2,КС-3 №2 от 29.06.2018</t>
  </si>
  <si>
    <t>КС-2,КС-3 №1 от 30.06.2019</t>
  </si>
  <si>
    <t>КС-2,КС-3 №3 от 30.06.2020</t>
  </si>
  <si>
    <t>КС-2,КС-3 №2 от 30.06.2021</t>
  </si>
  <si>
    <t>КС-2,КС-3 №4 от 30.06.2022</t>
  </si>
  <si>
    <t>№481/18 от 09.06.2018</t>
  </si>
  <si>
    <t>КС-2,КС-3 №2 от 30.06.2020</t>
  </si>
  <si>
    <t>КС-2,КС-3 №1 от 29.06.2019</t>
  </si>
  <si>
    <t>Отчеты от 9.06.2018, 30.06.2018</t>
  </si>
  <si>
    <t>КС-2, КС-3 №5 от 22.05.2018</t>
  </si>
  <si>
    <t>КС-2, КС-3 №6 от 30.06.2018</t>
  </si>
  <si>
    <t>акт от 30.06.2018</t>
  </si>
  <si>
    <t xml:space="preserve">Отчет агента за январь 2018 </t>
  </si>
  <si>
    <t>акт №79 от 28.02.2018</t>
  </si>
  <si>
    <t>Отчет агента за май 2018</t>
  </si>
  <si>
    <t>Отчет агента за июнь 2018</t>
  </si>
  <si>
    <t>май</t>
  </si>
  <si>
    <t>КС-2, КС-3 №6 от 29.06.2018</t>
  </si>
  <si>
    <t>9 месяцев  2018 г.</t>
  </si>
  <si>
    <t>ООО "СТАРГ"</t>
  </si>
  <si>
    <t>№13501 от 05.07.2018</t>
  </si>
  <si>
    <t>ООО "Разноторг"</t>
  </si>
  <si>
    <t>№25/18 от 11.01.2018</t>
  </si>
  <si>
    <t>№13504 от 05.07.2018</t>
  </si>
  <si>
    <t>№13555 от 09.07.2018</t>
  </si>
  <si>
    <t>№14569 от 19.07.2018</t>
  </si>
  <si>
    <t>№14660 от 24.07.2018</t>
  </si>
  <si>
    <t>№14807 от 30.07.2018</t>
  </si>
  <si>
    <t>№14854 от 31.07.2018</t>
  </si>
  <si>
    <t>№13503 от 05.07.2018</t>
  </si>
  <si>
    <t>№13549 от 09.07.2018</t>
  </si>
  <si>
    <t>№13554 от 09.07.2018</t>
  </si>
  <si>
    <t>№14659 от 24.07.2018</t>
  </si>
  <si>
    <t>№14853 от 31.07.2018</t>
  </si>
  <si>
    <t>№14855 от 31.07.2018</t>
  </si>
  <si>
    <t>Капитализация процентов (июль)</t>
  </si>
  <si>
    <t>№14637 от 20.07.2018</t>
  </si>
  <si>
    <t>ООО Торговый Дом "ПРОТЭК Стройкомплект"</t>
  </si>
  <si>
    <t xml:space="preserve"> №438/18 от 30.05.2018</t>
  </si>
  <si>
    <t>№13556 от 09.07.2018</t>
  </si>
  <si>
    <t>№14632 от 20.07.2018</t>
  </si>
  <si>
    <t>№14633 от 20.07.2018</t>
  </si>
  <si>
    <t>№14634 от 20.07.2018</t>
  </si>
  <si>
    <t>Дорожно-строительное управление 157</t>
  </si>
  <si>
    <t>Договор №470/18 от 09.06.2018</t>
  </si>
  <si>
    <t>№14631 от 20.07.2018</t>
  </si>
  <si>
    <t>14635 от 20.07.2018 0:00:00</t>
  </si>
  <si>
    <t xml:space="preserve">№14515 от 16.07.2018 </t>
  </si>
  <si>
    <t xml:space="preserve"> </t>
  </si>
  <si>
    <t xml:space="preserve">№821/17 от 11.12.2017 </t>
  </si>
  <si>
    <t xml:space="preserve">№14842 от 31.07.2018 </t>
  </si>
  <si>
    <t>№14169 от 16.07.2018</t>
  </si>
  <si>
    <t>№14790 от 30.07.2018</t>
  </si>
  <si>
    <t>№14793 от 30.07.2018</t>
  </si>
  <si>
    <t>№14805 от 30.07.2018</t>
  </si>
  <si>
    <t>ООО"МОНТАЖАВТОМАТИКА"</t>
  </si>
  <si>
    <t>№14828 от 30.07.2018</t>
  </si>
  <si>
    <t xml:space="preserve"> №193/18 от 28.02.2018 поставки ПЭ труб</t>
  </si>
  <si>
    <t>№15809 от 08.08.2018</t>
  </si>
  <si>
    <t>№15811 от 08.08.2018</t>
  </si>
  <si>
    <t>№15821 от 08.08.2018</t>
  </si>
  <si>
    <t xml:space="preserve"> Договор №610/18 от 01.08.2018</t>
  </si>
  <si>
    <t>№15993 от 13.08.201</t>
  </si>
  <si>
    <t>№16004 от 13.08.2018</t>
  </si>
  <si>
    <t>№18025 от 31.08.2018</t>
  </si>
  <si>
    <t>№18026 от 31.08.2018</t>
  </si>
  <si>
    <t>Договор №610/18 от 01.08.2018</t>
  </si>
  <si>
    <t>№15994 от 13.08.2018</t>
  </si>
  <si>
    <t>ООО УПК Армаком</t>
  </si>
  <si>
    <t>Договор №559/18 от 11.07.2018</t>
  </si>
  <si>
    <t>№16139 от 20.08.2018</t>
  </si>
  <si>
    <t>№18022 от 31.08.2018</t>
  </si>
  <si>
    <t>№18023 от 31.08.2018</t>
  </si>
  <si>
    <t xml:space="preserve">№18024 от 31.08.2018 </t>
  </si>
  <si>
    <t>№15820 от 08.08.2018</t>
  </si>
  <si>
    <t>ООО "Экопроект ЦЧР"</t>
  </si>
  <si>
    <t>№ 654/17 от 11.10.2017  авторский надзор</t>
  </si>
  <si>
    <t>№15851 от 09.08.2018</t>
  </si>
  <si>
    <t>№17981 от 29.08.2018</t>
  </si>
  <si>
    <t>№17982 от 29.08.2018</t>
  </si>
  <si>
    <t xml:space="preserve">№15855 от 09.08.2018 </t>
  </si>
  <si>
    <t>ООО "ЭНИ"</t>
  </si>
  <si>
    <t>№451/18 от 05.06.2018 Разработка  ПСД</t>
  </si>
  <si>
    <t>№16106 от 17.08.2018</t>
  </si>
  <si>
    <t>№17988 от 29.08.2018</t>
  </si>
  <si>
    <t>за 9 месяцев  2018 года</t>
  </si>
  <si>
    <t>Бурспецмонтаж ООО</t>
  </si>
  <si>
    <t>Договор №775/17 от 28.11.2017</t>
  </si>
  <si>
    <t>№15858 от 09.08.2018</t>
  </si>
  <si>
    <t>№15857 от 09.08.2018</t>
  </si>
  <si>
    <t>№15854 от 09.08.2018</t>
  </si>
  <si>
    <t>№15853 от 09.08.2018</t>
  </si>
  <si>
    <t>№15852 от 09.08.2018</t>
  </si>
  <si>
    <t>601/18 от 30.07.2018</t>
  </si>
  <si>
    <t>№15850 от 09.08.2018</t>
  </si>
  <si>
    <t>АЛЬФА-БАНК (Договор факторинга по дог.840/17 от 15.12.2017 с ООО "Магистраль Телеком")</t>
  </si>
  <si>
    <t>№17994 от 29.08.2018</t>
  </si>
  <si>
    <t>№17995 от 29.08.2018</t>
  </si>
  <si>
    <t xml:space="preserve">№15859 от 09.08.2018 </t>
  </si>
  <si>
    <t>№15860 от 09.08.2018</t>
  </si>
  <si>
    <t>№15861 от 09.08.2018</t>
  </si>
  <si>
    <t>ООО "ИНЖЕНЕР"</t>
  </si>
  <si>
    <t>№680/18 от 03.09.2018</t>
  </si>
  <si>
    <t>№18568 от 07.09.2018</t>
  </si>
  <si>
    <t xml:space="preserve">№19365 от 14.09.2018 </t>
  </si>
  <si>
    <t>№21745 от 27.09.2018</t>
  </si>
  <si>
    <t>№17920 от 27.08.2018</t>
  </si>
  <si>
    <t>ПАО "МРСК ЦЕНТРА"</t>
  </si>
  <si>
    <t>№20476 от 18.09.2018</t>
  </si>
  <si>
    <t>№21650 от 24.09.2018</t>
  </si>
  <si>
    <t>№21651 от 24.09.2018</t>
  </si>
  <si>
    <t>№21652 от 24.09.2018</t>
  </si>
  <si>
    <t>№21132 от 19.09.2018</t>
  </si>
  <si>
    <t>№21133 от 19.09.2018</t>
  </si>
  <si>
    <t>№21634 от 24.09.2018</t>
  </si>
  <si>
    <t>№21635 от 24.09.2018</t>
  </si>
  <si>
    <t xml:space="preserve">№21635 от 24.09.2018 </t>
  </si>
  <si>
    <t>№21663 от 24.09.2018</t>
  </si>
  <si>
    <t>№21649 от 24.09.2018</t>
  </si>
  <si>
    <t>Капитализация процентов июль</t>
  </si>
  <si>
    <t>___</t>
  </si>
  <si>
    <t>Капитализация процентов август</t>
  </si>
  <si>
    <t>Капитализация процентов (август)</t>
  </si>
  <si>
    <t>Капитализация процентов сентябрь</t>
  </si>
  <si>
    <t>Капитализация процентов (сентябрь)</t>
  </si>
  <si>
    <t>Давальческий материал (июль)</t>
  </si>
  <si>
    <t>Давальческий материал (август)</t>
  </si>
  <si>
    <t>Давальческий материал (сентябрь)</t>
  </si>
  <si>
    <t>№16048 от 15.08.2018</t>
  </si>
  <si>
    <t>ООО "КВО-АРМ"</t>
  </si>
  <si>
    <t xml:space="preserve"> № 744/15 от 29.12.2015</t>
  </si>
  <si>
    <t>Корректировка долга от 16.08.18</t>
  </si>
  <si>
    <t>корректировка №1282 от 01.09.2018</t>
  </si>
  <si>
    <t xml:space="preserve">№502/18 от 20.06.2018 разработка рабочей документации </t>
  </si>
  <si>
    <t>доп. соглашение 603/18 от 30.07.2018</t>
  </si>
  <si>
    <t>Корректировка поступления ВРЖ00000035 от 01.08.2018</t>
  </si>
  <si>
    <t>Корректировка поступления ВРЖ00000036 от 01.08.2018</t>
  </si>
  <si>
    <t>Корректировка поступления ВРЖ00000019 от 21.08.2018</t>
  </si>
  <si>
    <t>Корректировка поступления ВРЖ00000033 от 01.08.2018</t>
  </si>
  <si>
    <t>Корректировка поступления ВРЖ00000034 от 01.08.2018</t>
  </si>
  <si>
    <t xml:space="preserve">Корректировка поступления ВРЖ00000032 от 01.08.2018 </t>
  </si>
  <si>
    <t>Корректировка поступления ВРЖ00000015 от 27.07.2018</t>
  </si>
  <si>
    <t>Корректировка записей регистров 00000001052 от 10.07.2018</t>
  </si>
  <si>
    <t xml:space="preserve">Корректировка записей регистров 00000001052 от 10.07.2018 </t>
  </si>
  <si>
    <t>Корректировка записей регистров 1050 от 02.07.2018</t>
  </si>
  <si>
    <t>Корректировка записей регистров 1051 от 02.07.2018</t>
  </si>
  <si>
    <t xml:space="preserve">Корректировка записей регистров 00000001049 от 02.07.2018 </t>
  </si>
  <si>
    <t xml:space="preserve">Корректировка записей регистров1048 от 02.07.2018 </t>
  </si>
  <si>
    <t>КС-2, КС-3 №11 от 02.07.2018</t>
  </si>
  <si>
    <t>КС-2 №2/1 от 27.07.18, КС-3 №3 от 27.07.2018</t>
  </si>
  <si>
    <t>КС-2, КС-3 №12 от 30.07.2019</t>
  </si>
  <si>
    <t>КС-3, КС-2 №21 от 21.07.2018</t>
  </si>
  <si>
    <t>КС-3№1 т 17.07.18</t>
  </si>
  <si>
    <t>-</t>
  </si>
  <si>
    <t>С.В. Туршатова</t>
  </si>
  <si>
    <t>КС-2, КС-3 №13 от 30.07.2020</t>
  </si>
  <si>
    <t>акт №214 от 31.07.18</t>
  </si>
  <si>
    <t>КС-2, КС-3  №15 от 16.07.18</t>
  </si>
  <si>
    <t>КС-2, КС-3 №16 от 30.07.18</t>
  </si>
  <si>
    <t>КС-2,КС-3 №17 от 31.07.18</t>
  </si>
  <si>
    <t>КС-2, КС-3 №5 от 03.08.2018</t>
  </si>
  <si>
    <t>КС-2, КС-3 №8 от 03.08.2018</t>
  </si>
  <si>
    <t>КС-2,КС-3 №18 от 14.08.18</t>
  </si>
  <si>
    <t>КС-2,КС-3 №19 от 24.08.18</t>
  </si>
  <si>
    <t>КС-2,КС-3 №20 от 31.08.18</t>
  </si>
  <si>
    <t>КС-2, КС-3 №4 от 31.08.2018</t>
  </si>
  <si>
    <t>КС-2, КС-3 №3 от 31.08.2018</t>
  </si>
  <si>
    <t>КС2, КС-3  №22 от 31.08.18</t>
  </si>
  <si>
    <t>КС-2, КС-3 №18 от 25.06.2018</t>
  </si>
  <si>
    <t>КС-2, КС-3 №19 от 29.06.2018</t>
  </si>
  <si>
    <t>КС-2, КС-3 №20 от 29.06.2018</t>
  </si>
  <si>
    <t>КС-2, КС-3 №15 от 20.08.2019</t>
  </si>
  <si>
    <t>КС-2, КС-3 №14 от 20.08.2020</t>
  </si>
  <si>
    <t>КС2, КС-3 №23 от 27.09.18</t>
  </si>
  <si>
    <t>КС-2, КС-3 №5 от 27.09.18</t>
  </si>
  <si>
    <t>Акт №84 от 23.08.18</t>
  </si>
  <si>
    <t>Акт №85 от 23.08.19</t>
  </si>
  <si>
    <t>Акт №8 от 28.08.2018</t>
  </si>
  <si>
    <t>Акт №7 от 30.07.2018</t>
  </si>
  <si>
    <t>Акт №9 от 28.09.2018</t>
  </si>
  <si>
    <t>Кс-2,КС-3 №24 от 26.09.18</t>
  </si>
  <si>
    <t>КС2, КС-3 №23 от 26.09.18</t>
  </si>
  <si>
    <t>КС-2,КС-3 №22 от 24.09.18</t>
  </si>
  <si>
    <t>Кс-2, КС-3 №21 от 20.09.18</t>
  </si>
  <si>
    <t>КС-2, КС-3 №14 от 10.09.2018</t>
  </si>
  <si>
    <t>КС-2, КС-3 №13 от 10.09.2018</t>
  </si>
  <si>
    <t>КС-2, КС-3 №12 от 10.09.2018</t>
  </si>
  <si>
    <t>КС-2, КС-3 №21/10 от 14.09.2018</t>
  </si>
  <si>
    <t>КС-2, КС-3 №20 от 28.09.2018</t>
  </si>
  <si>
    <t>КС-2, КС-3  № 19 от 14.09.18</t>
  </si>
  <si>
    <t>КС-2, КС-3 №18 от 14.09.18</t>
  </si>
  <si>
    <t>КС-2, КС-3 №17 от 14.09.18</t>
  </si>
  <si>
    <t>КС-2, КС-3 №16 от 14.09.2018</t>
  </si>
  <si>
    <t>КС-2, КС-3  № 15 от 14.09.18</t>
  </si>
  <si>
    <t>КС-2, КС-3 №13 от 14.09.2018</t>
  </si>
  <si>
    <t>КС-2, КС-3 №12 от 14.09.2018</t>
  </si>
  <si>
    <t>КС-2, КС-3 №14 от 14.09.2018</t>
  </si>
  <si>
    <t>КС-2, КС-3 №6 от 02.07.2018</t>
  </si>
  <si>
    <t>Отчет по давальческому материалу от 31.05.2019</t>
  </si>
  <si>
    <t>Отчет по давальческому материалу от 01.07.2018</t>
  </si>
  <si>
    <t>Отчет по давальческому материалу от 03.08.2018</t>
  </si>
  <si>
    <t>Отчет по дав.маатериалу от 01.07.2018  и от 31.07.18</t>
  </si>
  <si>
    <t>Отчет по дав.маатериалу от 14.09.18</t>
  </si>
  <si>
    <t>Отчет по дав.материалу от 30.07.2018</t>
  </si>
  <si>
    <t>Отчет по дав.материалу от 16.08.2018</t>
  </si>
  <si>
    <t>акт №450/1 от 31.07.18</t>
  </si>
  <si>
    <t>акт №495 от 3107.2018</t>
  </si>
  <si>
    <t>отчет агента от 31.07.18</t>
  </si>
  <si>
    <t>акт № 505 от 31.07.18</t>
  </si>
  <si>
    <t>акт №583 от 31.08.18</t>
  </si>
  <si>
    <t>акт №568 от 31.08.18</t>
  </si>
  <si>
    <t>акт №566 от 31.08.18</t>
  </si>
  <si>
    <t>акт 566 от 31.08.18</t>
  </si>
  <si>
    <t>КС-2, КС-3 №11 от 03.08.2019</t>
  </si>
  <si>
    <t>корректировка №1015 от 01.07.18</t>
  </si>
  <si>
    <t>КС-2, КС-3 №11 от 15.06.2018</t>
  </si>
  <si>
    <t>акт №269 от27.09.18</t>
  </si>
  <si>
    <t>Акт №108 от 30.04.2019</t>
  </si>
  <si>
    <t xml:space="preserve">Корректировка поступления ВРЖ00000016 от 27.07.2018 </t>
  </si>
  <si>
    <t>акт 732 от 30.09.18</t>
  </si>
  <si>
    <t>акт 767 от 30.09.18</t>
  </si>
  <si>
    <t>акт №732 от 30.09.18</t>
  </si>
  <si>
    <t>акт №688 от 28.09.18</t>
  </si>
  <si>
    <t>акт №724 от 28.09.18</t>
  </si>
  <si>
    <t>акт №728 от 30.09.18</t>
  </si>
  <si>
    <t>акт №767 от 30.09.18</t>
  </si>
  <si>
    <t>Отчет агента</t>
  </si>
  <si>
    <t>Начальник ОПиРИП</t>
  </si>
  <si>
    <t>ПИР Реконструкция  ВПС-11/2. Комплекс работ по техническому перевооружению оборудования машинных залов. Строительство ОРУ-35 кВ</t>
  </si>
  <si>
    <t>АО "Гидромашсервис"</t>
  </si>
  <si>
    <t>№353/16 от 03.08.2016</t>
  </si>
  <si>
    <t xml:space="preserve">ПИР Реконструкция  ВПС-6. Комплекс работ по техническому перевооружению оборудования машинных залов. </t>
  </si>
  <si>
    <t>ПИР Реконструкция  ВПС-9 Комплекс работ по техническому перевооружению оборудования машинных залов.</t>
  </si>
  <si>
    <t xml:space="preserve">ПИР Реконструкция  ВПС-3а Комплекс работ по техническому перевооружению оборудования машинных залов.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</si>
</sst>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#,##0.000;[Red]#,##0.000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Arial"/>
      <family val="2"/>
      <charset val="204"/>
    </font>
    <font>
      <sz val="8"/>
      <name val="Arial"/>
      <family val="2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7" fillId="0" borderId="0"/>
    <xf numFmtId="0" fontId="15" fillId="0" borderId="0"/>
    <xf numFmtId="0" fontId="5" fillId="0" borderId="0"/>
    <xf numFmtId="0" fontId="22" fillId="0" borderId="0"/>
    <xf numFmtId="0" fontId="1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22" fillId="0" borderId="0"/>
  </cellStyleXfs>
  <cellXfs count="317">
    <xf numFmtId="0" fontId="0" fillId="0" borderId="0" xfId="0"/>
    <xf numFmtId="0" fontId="8" fillId="0" borderId="0" xfId="1" applyFont="1" applyFill="1"/>
    <xf numFmtId="0" fontId="6" fillId="0" borderId="0" xfId="1"/>
    <xf numFmtId="0" fontId="8" fillId="0" borderId="0" xfId="1" applyFont="1"/>
    <xf numFmtId="4" fontId="8" fillId="0" borderId="0" xfId="1" applyNumberFormat="1" applyFont="1" applyFill="1"/>
    <xf numFmtId="43" fontId="8" fillId="0" borderId="0" xfId="1" applyNumberFormat="1" applyFont="1"/>
    <xf numFmtId="4" fontId="6" fillId="0" borderId="0" xfId="1" applyNumberFormat="1"/>
    <xf numFmtId="2" fontId="8" fillId="0" borderId="0" xfId="1" applyNumberFormat="1" applyFont="1"/>
    <xf numFmtId="0" fontId="6" fillId="0" borderId="0" xfId="1" applyBorder="1"/>
    <xf numFmtId="0" fontId="8" fillId="2" borderId="0" xfId="1" applyFont="1" applyFill="1"/>
    <xf numFmtId="0" fontId="2" fillId="0" borderId="0" xfId="1" applyFont="1"/>
    <xf numFmtId="4" fontId="8" fillId="0" borderId="0" xfId="1" applyNumberFormat="1" applyFont="1"/>
    <xf numFmtId="164" fontId="8" fillId="0" borderId="0" xfId="1" applyNumberFormat="1" applyFont="1"/>
    <xf numFmtId="164" fontId="6" fillId="0" borderId="0" xfId="1" applyNumberFormat="1"/>
    <xf numFmtId="4" fontId="17" fillId="3" borderId="15" xfId="2" applyNumberFormat="1" applyFont="1" applyFill="1" applyBorder="1" applyAlignment="1">
      <alignment horizontal="center" vertical="center" wrapText="1"/>
    </xf>
    <xf numFmtId="4" fontId="17" fillId="3" borderId="21" xfId="2" applyNumberFormat="1" applyFont="1" applyFill="1" applyBorder="1" applyAlignment="1">
      <alignment horizontal="center" vertical="center" wrapText="1"/>
    </xf>
    <xf numFmtId="4" fontId="17" fillId="3" borderId="18" xfId="2" applyNumberFormat="1" applyFont="1" applyFill="1" applyBorder="1" applyAlignment="1">
      <alignment horizontal="center" vertical="center" wrapText="1"/>
    </xf>
    <xf numFmtId="4" fontId="8" fillId="5" borderId="0" xfId="1" applyNumberFormat="1" applyFont="1" applyFill="1"/>
    <xf numFmtId="0" fontId="8" fillId="5" borderId="0" xfId="1" applyFont="1" applyFill="1"/>
    <xf numFmtId="0" fontId="8" fillId="4" borderId="0" xfId="1" applyFont="1" applyFill="1"/>
    <xf numFmtId="4" fontId="8" fillId="4" borderId="0" xfId="1" applyNumberFormat="1" applyFont="1" applyFill="1"/>
    <xf numFmtId="2" fontId="17" fillId="3" borderId="15" xfId="2" applyNumberFormat="1" applyFont="1" applyFill="1" applyBorder="1" applyAlignment="1">
      <alignment horizontal="center" vertical="center" wrapText="1"/>
    </xf>
    <xf numFmtId="0" fontId="6" fillId="6" borderId="0" xfId="1" applyFill="1"/>
    <xf numFmtId="0" fontId="8" fillId="6" borderId="0" xfId="1" applyFont="1" applyFill="1"/>
    <xf numFmtId="4" fontId="8" fillId="6" borderId="0" xfId="1" applyNumberFormat="1" applyFont="1" applyFill="1"/>
    <xf numFmtId="164" fontId="17" fillId="3" borderId="18" xfId="2" applyNumberFormat="1" applyFont="1" applyFill="1" applyBorder="1" applyAlignment="1">
      <alignment horizontal="center" vertical="center" wrapText="1"/>
    </xf>
    <xf numFmtId="0" fontId="6" fillId="0" borderId="37" xfId="1" applyBorder="1"/>
    <xf numFmtId="4" fontId="17" fillId="3" borderId="32" xfId="2" applyNumberFormat="1" applyFont="1" applyFill="1" applyBorder="1" applyAlignment="1">
      <alignment horizontal="center" vertical="center" wrapText="1"/>
    </xf>
    <xf numFmtId="0" fontId="8" fillId="7" borderId="0" xfId="1" applyFont="1" applyFill="1"/>
    <xf numFmtId="4" fontId="8" fillId="7" borderId="0" xfId="1" applyNumberFormat="1" applyFont="1" applyFill="1"/>
    <xf numFmtId="0" fontId="17" fillId="3" borderId="45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4" fontId="17" fillId="3" borderId="19" xfId="2" applyNumberFormat="1" applyFont="1" applyFill="1" applyBorder="1" applyAlignment="1">
      <alignment horizontal="center" vertical="center" wrapText="1"/>
    </xf>
    <xf numFmtId="4" fontId="17" fillId="3" borderId="8" xfId="2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164" fontId="17" fillId="3" borderId="8" xfId="2" applyNumberFormat="1" applyFont="1" applyFill="1" applyBorder="1" applyAlignment="1">
      <alignment horizontal="center" vertical="center" wrapText="1"/>
    </xf>
    <xf numFmtId="164" fontId="17" fillId="3" borderId="36" xfId="2" applyNumberFormat="1" applyFont="1" applyFill="1" applyBorder="1" applyAlignment="1">
      <alignment horizontal="center" vertical="center" wrapText="1"/>
    </xf>
    <xf numFmtId="0" fontId="8" fillId="3" borderId="0" xfId="1" applyFont="1" applyFill="1"/>
    <xf numFmtId="0" fontId="17" fillId="3" borderId="13" xfId="2" applyFont="1" applyFill="1" applyBorder="1" applyAlignment="1">
      <alignment horizontal="center" vertical="center" wrapText="1"/>
    </xf>
    <xf numFmtId="4" fontId="17" fillId="3" borderId="13" xfId="2" applyNumberFormat="1" applyFont="1" applyFill="1" applyBorder="1" applyAlignment="1">
      <alignment horizontal="center" vertical="center" wrapText="1"/>
    </xf>
    <xf numFmtId="164" fontId="17" fillId="3" borderId="13" xfId="2" applyNumberFormat="1" applyFont="1" applyFill="1" applyBorder="1" applyAlignment="1">
      <alignment horizontal="center" vertical="center" wrapText="1"/>
    </xf>
    <xf numFmtId="4" fontId="17" fillId="3" borderId="14" xfId="2" applyNumberFormat="1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4" fontId="17" fillId="3" borderId="7" xfId="2" applyNumberFormat="1" applyFont="1" applyFill="1" applyBorder="1" applyAlignment="1">
      <alignment horizontal="center" vertical="center" wrapText="1"/>
    </xf>
    <xf numFmtId="164" fontId="17" fillId="3" borderId="7" xfId="2" applyNumberFormat="1" applyFont="1" applyFill="1" applyBorder="1" applyAlignment="1">
      <alignment horizontal="center" vertical="center" wrapText="1"/>
    </xf>
    <xf numFmtId="4" fontId="17" fillId="3" borderId="10" xfId="2" applyNumberFormat="1" applyFont="1" applyFill="1" applyBorder="1" applyAlignment="1">
      <alignment horizontal="center" vertical="center" wrapText="1"/>
    </xf>
    <xf numFmtId="4" fontId="8" fillId="3" borderId="0" xfId="1" applyNumberFormat="1" applyFont="1" applyFill="1"/>
    <xf numFmtId="164" fontId="17" fillId="3" borderId="15" xfId="2" applyNumberFormat="1" applyFont="1" applyFill="1" applyBorder="1" applyAlignment="1">
      <alignment horizontal="center" vertical="center" wrapText="1"/>
    </xf>
    <xf numFmtId="0" fontId="6" fillId="3" borderId="15" xfId="1" applyFill="1" applyBorder="1"/>
    <xf numFmtId="2" fontId="17" fillId="3" borderId="18" xfId="2" applyNumberFormat="1" applyFont="1" applyFill="1" applyBorder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164" fontId="17" fillId="3" borderId="19" xfId="2" applyNumberFormat="1" applyFont="1" applyFill="1" applyBorder="1" applyAlignment="1">
      <alignment horizontal="center" vertical="center" wrapText="1"/>
    </xf>
    <xf numFmtId="164" fontId="17" fillId="3" borderId="21" xfId="2" applyNumberFormat="1" applyFont="1" applyFill="1" applyBorder="1" applyAlignment="1">
      <alignment horizontal="center" vertical="center" wrapText="1"/>
    </xf>
    <xf numFmtId="2" fontId="17" fillId="3" borderId="15" xfId="1" applyNumberFormat="1" applyFont="1" applyFill="1" applyBorder="1" applyAlignment="1">
      <alignment horizontal="center" vertical="center"/>
    </xf>
    <xf numFmtId="0" fontId="17" fillId="3" borderId="15" xfId="1" applyFont="1" applyFill="1" applyBorder="1" applyAlignment="1">
      <alignment horizontal="center" vertical="center" wrapText="1"/>
    </xf>
    <xf numFmtId="43" fontId="17" fillId="3" borderId="15" xfId="14" applyFont="1" applyFill="1" applyBorder="1" applyAlignment="1">
      <alignment horizontal="center" vertical="center"/>
    </xf>
    <xf numFmtId="0" fontId="8" fillId="3" borderId="15" xfId="1" applyFont="1" applyFill="1" applyBorder="1"/>
    <xf numFmtId="0" fontId="17" fillId="3" borderId="15" xfId="1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8" fillId="3" borderId="11" xfId="2" applyFont="1" applyFill="1" applyBorder="1" applyAlignment="1">
      <alignment horizontal="center" vertical="center" wrapText="1"/>
    </xf>
    <xf numFmtId="0" fontId="18" fillId="3" borderId="22" xfId="2" applyFont="1" applyFill="1" applyBorder="1" applyAlignment="1">
      <alignment horizontal="center" vertical="center" wrapText="1"/>
    </xf>
    <xf numFmtId="0" fontId="18" fillId="3" borderId="22" xfId="2" applyFont="1" applyFill="1" applyBorder="1" applyAlignment="1">
      <alignment horizontal="center" vertical="center"/>
    </xf>
    <xf numFmtId="0" fontId="17" fillId="3" borderId="6" xfId="3" applyNumberFormat="1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0" fontId="18" fillId="3" borderId="0" xfId="2" applyFont="1" applyFill="1" applyBorder="1" applyAlignment="1">
      <alignment horizontal="center" vertical="center" wrapText="1"/>
    </xf>
    <xf numFmtId="0" fontId="8" fillId="3" borderId="0" xfId="2" applyFont="1" applyFill="1"/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7" fillId="3" borderId="27" xfId="0" applyFont="1" applyFill="1" applyBorder="1" applyAlignment="1">
      <alignment vertical="center" wrapText="1"/>
    </xf>
    <xf numFmtId="0" fontId="21" fillId="3" borderId="27" xfId="0" applyFont="1" applyFill="1" applyBorder="1" applyAlignment="1">
      <alignment vertical="center" wrapText="1"/>
    </xf>
    <xf numFmtId="0" fontId="17" fillId="3" borderId="0" xfId="2" applyFont="1" applyFill="1" applyAlignment="1">
      <alignment horizontal="left"/>
    </xf>
    <xf numFmtId="0" fontId="9" fillId="3" borderId="0" xfId="1" applyFont="1" applyFill="1" applyBorder="1" applyAlignment="1">
      <alignment horizontal="center" vertical="center" wrapText="1"/>
    </xf>
    <xf numFmtId="164" fontId="9" fillId="3" borderId="0" xfId="1" applyNumberFormat="1" applyFont="1" applyFill="1" applyBorder="1" applyAlignment="1">
      <alignment horizontal="center" vertical="center" wrapText="1"/>
    </xf>
    <xf numFmtId="0" fontId="8" fillId="3" borderId="0" xfId="1" applyFont="1" applyFill="1" applyBorder="1"/>
    <xf numFmtId="164" fontId="10" fillId="3" borderId="0" xfId="2" applyNumberFormat="1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/>
    </xf>
    <xf numFmtId="164" fontId="10" fillId="3" borderId="10" xfId="2" applyNumberFormat="1" applyFont="1" applyFill="1" applyBorder="1" applyAlignment="1">
      <alignment horizontal="center" vertical="center" wrapText="1"/>
    </xf>
    <xf numFmtId="166" fontId="26" fillId="3" borderId="15" xfId="1" applyNumberFormat="1" applyFont="1" applyFill="1" applyBorder="1" applyAlignment="1">
      <alignment horizontal="center" vertical="center"/>
    </xf>
    <xf numFmtId="0" fontId="26" fillId="3" borderId="15" xfId="1" applyFont="1" applyFill="1" applyBorder="1" applyAlignment="1">
      <alignment horizontal="center" vertical="center" wrapText="1"/>
    </xf>
    <xf numFmtId="2" fontId="26" fillId="3" borderId="15" xfId="1" applyNumberFormat="1" applyFont="1" applyFill="1" applyBorder="1" applyAlignment="1">
      <alignment horizontal="center" vertical="center"/>
    </xf>
    <xf numFmtId="0" fontId="25" fillId="3" borderId="49" xfId="15" applyNumberFormat="1" applyFont="1" applyFill="1" applyBorder="1" applyAlignment="1">
      <alignment horizontal="center" vertical="center" wrapText="1"/>
    </xf>
    <xf numFmtId="2" fontId="6" fillId="3" borderId="15" xfId="1" applyNumberFormat="1" applyFill="1" applyBorder="1" applyAlignment="1">
      <alignment horizontal="center" vertical="center"/>
    </xf>
    <xf numFmtId="0" fontId="6" fillId="3" borderId="7" xfId="1" applyFill="1" applyBorder="1"/>
    <xf numFmtId="2" fontId="26" fillId="3" borderId="7" xfId="1" applyNumberFormat="1" applyFont="1" applyFill="1" applyBorder="1" applyAlignment="1">
      <alignment horizontal="center" vertical="center"/>
    </xf>
    <xf numFmtId="0" fontId="0" fillId="3" borderId="16" xfId="0" applyFill="1" applyBorder="1"/>
    <xf numFmtId="165" fontId="17" fillId="3" borderId="15" xfId="2" applyNumberFormat="1" applyFont="1" applyFill="1" applyBorder="1" applyAlignment="1">
      <alignment horizontal="center" vertical="center" wrapText="1"/>
    </xf>
    <xf numFmtId="165" fontId="17" fillId="3" borderId="18" xfId="2" applyNumberFormat="1" applyFont="1" applyFill="1" applyBorder="1" applyAlignment="1">
      <alignment horizontal="center" vertical="center" wrapText="1"/>
    </xf>
    <xf numFmtId="4" fontId="17" fillId="3" borderId="36" xfId="2" applyNumberFormat="1" applyFont="1" applyFill="1" applyBorder="1" applyAlignment="1">
      <alignment horizontal="center" vertical="center" wrapText="1"/>
    </xf>
    <xf numFmtId="0" fontId="17" fillId="3" borderId="23" xfId="2" applyFont="1" applyFill="1" applyBorder="1" applyAlignment="1">
      <alignment horizontal="center" vertical="center" wrapText="1"/>
    </xf>
    <xf numFmtId="4" fontId="17" fillId="3" borderId="23" xfId="2" applyNumberFormat="1" applyFont="1" applyFill="1" applyBorder="1" applyAlignment="1">
      <alignment horizontal="center" vertical="center" wrapText="1"/>
    </xf>
    <xf numFmtId="164" fontId="17" fillId="3" borderId="23" xfId="2" applyNumberFormat="1" applyFont="1" applyFill="1" applyBorder="1" applyAlignment="1">
      <alignment horizontal="center" vertical="center" wrapText="1"/>
    </xf>
    <xf numFmtId="4" fontId="17" fillId="3" borderId="24" xfId="2" applyNumberFormat="1" applyFont="1" applyFill="1" applyBorder="1" applyAlignment="1">
      <alignment horizontal="center" vertical="center" wrapText="1"/>
    </xf>
    <xf numFmtId="4" fontId="17" fillId="3" borderId="15" xfId="2" applyNumberFormat="1" applyFont="1" applyFill="1" applyBorder="1" applyAlignment="1">
      <alignment vertical="center" wrapText="1"/>
    </xf>
    <xf numFmtId="2" fontId="17" fillId="3" borderId="18" xfId="1" applyNumberFormat="1" applyFont="1" applyFill="1" applyBorder="1" applyAlignment="1">
      <alignment horizontal="center"/>
    </xf>
    <xf numFmtId="0" fontId="8" fillId="3" borderId="18" xfId="1" applyFont="1" applyFill="1" applyBorder="1"/>
    <xf numFmtId="2" fontId="17" fillId="3" borderId="18" xfId="1" applyNumberFormat="1" applyFont="1" applyFill="1" applyBorder="1" applyAlignment="1">
      <alignment horizontal="center" vertical="center"/>
    </xf>
    <xf numFmtId="0" fontId="17" fillId="3" borderId="22" xfId="2" applyFont="1" applyFill="1" applyBorder="1" applyAlignment="1">
      <alignment vertical="center" wrapText="1"/>
    </xf>
    <xf numFmtId="0" fontId="17" fillId="3" borderId="23" xfId="2" applyFont="1" applyFill="1" applyBorder="1" applyAlignment="1">
      <alignment vertical="center" wrapText="1"/>
    </xf>
    <xf numFmtId="4" fontId="18" fillId="3" borderId="23" xfId="2" applyNumberFormat="1" applyFont="1" applyFill="1" applyBorder="1" applyAlignment="1">
      <alignment horizontal="center" vertical="center" wrapText="1"/>
    </xf>
    <xf numFmtId="4" fontId="18" fillId="3" borderId="24" xfId="2" applyNumberFormat="1" applyFont="1" applyFill="1" applyBorder="1" applyAlignment="1">
      <alignment horizontal="center" vertical="center" wrapText="1"/>
    </xf>
    <xf numFmtId="0" fontId="18" fillId="3" borderId="23" xfId="2" applyFont="1" applyFill="1" applyBorder="1" applyAlignment="1">
      <alignment horizontal="center" vertical="center" wrapText="1"/>
    </xf>
    <xf numFmtId="0" fontId="8" fillId="3" borderId="35" xfId="2" applyFont="1" applyFill="1" applyBorder="1"/>
    <xf numFmtId="0" fontId="8" fillId="3" borderId="37" xfId="2" applyFont="1" applyFill="1" applyBorder="1"/>
    <xf numFmtId="0" fontId="8" fillId="3" borderId="12" xfId="2" applyFont="1" applyFill="1" applyBorder="1"/>
    <xf numFmtId="0" fontId="26" fillId="3" borderId="15" xfId="2" applyFont="1" applyFill="1" applyBorder="1" applyAlignment="1">
      <alignment horizontal="center" vertical="center" wrapText="1"/>
    </xf>
    <xf numFmtId="4" fontId="26" fillId="3" borderId="15" xfId="2" applyNumberFormat="1" applyFont="1" applyFill="1" applyBorder="1" applyAlignment="1">
      <alignment horizontal="center" vertical="center" wrapText="1"/>
    </xf>
    <xf numFmtId="164" fontId="26" fillId="3" borderId="15" xfId="2" applyNumberFormat="1" applyFont="1" applyFill="1" applyBorder="1" applyAlignment="1">
      <alignment horizontal="center" vertical="center" wrapText="1"/>
    </xf>
    <xf numFmtId="4" fontId="26" fillId="3" borderId="16" xfId="2" applyNumberFormat="1" applyFont="1" applyFill="1" applyBorder="1" applyAlignment="1">
      <alignment horizontal="center" vertical="center" wrapText="1"/>
    </xf>
    <xf numFmtId="0" fontId="17" fillId="3" borderId="13" xfId="3" applyNumberFormat="1" applyFont="1" applyFill="1" applyBorder="1" applyAlignment="1">
      <alignment horizontal="center" vertical="center" wrapText="1"/>
    </xf>
    <xf numFmtId="2" fontId="17" fillId="3" borderId="13" xfId="2" applyNumberFormat="1" applyFont="1" applyFill="1" applyBorder="1" applyAlignment="1">
      <alignment horizontal="center" vertical="center" wrapText="1"/>
    </xf>
    <xf numFmtId="2" fontId="17" fillId="3" borderId="19" xfId="2" applyNumberFormat="1" applyFont="1" applyFill="1" applyBorder="1" applyAlignment="1">
      <alignment horizontal="center" vertical="center" wrapText="1"/>
    </xf>
    <xf numFmtId="4" fontId="17" fillId="3" borderId="44" xfId="2" applyNumberFormat="1" applyFont="1" applyFill="1" applyBorder="1" applyAlignment="1">
      <alignment horizontal="center" vertical="center" wrapText="1"/>
    </xf>
    <xf numFmtId="2" fontId="17" fillId="3" borderId="21" xfId="2" applyNumberFormat="1" applyFont="1" applyFill="1" applyBorder="1" applyAlignment="1">
      <alignment horizontal="center" vertical="center" wrapText="1"/>
    </xf>
    <xf numFmtId="0" fontId="17" fillId="3" borderId="18" xfId="1" applyFont="1" applyFill="1" applyBorder="1" applyAlignment="1">
      <alignment horizontal="center" vertical="center"/>
    </xf>
    <xf numFmtId="2" fontId="8" fillId="3" borderId="18" xfId="1" applyNumberFormat="1" applyFont="1" applyFill="1" applyBorder="1" applyAlignment="1">
      <alignment horizontal="center" vertical="center"/>
    </xf>
    <xf numFmtId="4" fontId="17" fillId="3" borderId="46" xfId="2" applyNumberFormat="1" applyFont="1" applyFill="1" applyBorder="1" applyAlignment="1">
      <alignment horizontal="center" vertical="center" wrapText="1"/>
    </xf>
    <xf numFmtId="4" fontId="17" fillId="3" borderId="43" xfId="2" applyNumberFormat="1" applyFont="1" applyFill="1" applyBorder="1" applyAlignment="1">
      <alignment horizontal="center" vertical="center" wrapText="1"/>
    </xf>
    <xf numFmtId="164" fontId="12" fillId="3" borderId="18" xfId="2" applyNumberFormat="1" applyFont="1" applyFill="1" applyBorder="1" applyAlignment="1">
      <alignment horizontal="center" vertical="center" wrapText="1"/>
    </xf>
    <xf numFmtId="43" fontId="25" fillId="3" borderId="40" xfId="14" applyFont="1" applyFill="1" applyBorder="1" applyAlignment="1">
      <alignment horizontal="center" vertical="center"/>
    </xf>
    <xf numFmtId="43" fontId="25" fillId="3" borderId="48" xfId="14" applyFont="1" applyFill="1" applyBorder="1" applyAlignment="1">
      <alignment horizontal="center" vertical="center"/>
    </xf>
    <xf numFmtId="43" fontId="25" fillId="3" borderId="47" xfId="14" applyFont="1" applyFill="1" applyBorder="1" applyAlignment="1">
      <alignment horizontal="center" vertical="center"/>
    </xf>
    <xf numFmtId="43" fontId="25" fillId="3" borderId="47" xfId="14" applyFont="1" applyFill="1" applyBorder="1" applyAlignment="1">
      <alignment horizontal="center" vertical="center" wrapText="1"/>
    </xf>
    <xf numFmtId="4" fontId="17" fillId="3" borderId="47" xfId="2" applyNumberFormat="1" applyFont="1" applyFill="1" applyBorder="1" applyAlignment="1">
      <alignment horizontal="center" vertical="center" wrapText="1"/>
    </xf>
    <xf numFmtId="0" fontId="17" fillId="3" borderId="32" xfId="2" applyFont="1" applyFill="1" applyBorder="1" applyAlignment="1">
      <alignment horizontal="center" vertical="center" wrapText="1"/>
    </xf>
    <xf numFmtId="4" fontId="17" fillId="3" borderId="33" xfId="2" applyNumberFormat="1" applyFont="1" applyFill="1" applyBorder="1" applyAlignment="1">
      <alignment horizontal="center" vertical="center" wrapText="1"/>
    </xf>
    <xf numFmtId="167" fontId="17" fillId="3" borderId="15" xfId="1" applyNumberFormat="1" applyFont="1" applyFill="1" applyBorder="1" applyAlignment="1">
      <alignment horizontal="center" vertical="center"/>
    </xf>
    <xf numFmtId="167" fontId="26" fillId="3" borderId="15" xfId="1" applyNumberFormat="1" applyFont="1" applyFill="1" applyBorder="1" applyAlignment="1">
      <alignment horizontal="center" vertical="center"/>
    </xf>
    <xf numFmtId="4" fontId="18" fillId="3" borderId="8" xfId="2" applyNumberFormat="1" applyFont="1" applyFill="1" applyBorder="1" applyAlignment="1">
      <alignment horizontal="center" vertical="center" wrapText="1"/>
    </xf>
    <xf numFmtId="4" fontId="18" fillId="3" borderId="36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 wrapText="1"/>
    </xf>
    <xf numFmtId="164" fontId="18" fillId="3" borderId="0" xfId="2" applyNumberFormat="1" applyFont="1" applyFill="1" applyBorder="1" applyAlignment="1">
      <alignment horizontal="center" vertical="center" wrapText="1"/>
    </xf>
    <xf numFmtId="164" fontId="17" fillId="3" borderId="0" xfId="2" applyNumberFormat="1" applyFont="1" applyFill="1" applyBorder="1" applyAlignment="1">
      <alignment horizontal="center" vertical="center" wrapText="1"/>
    </xf>
    <xf numFmtId="4" fontId="18" fillId="3" borderId="0" xfId="2" applyNumberFormat="1" applyFont="1" applyFill="1" applyBorder="1" applyAlignment="1">
      <alignment horizontal="center" vertical="center" wrapText="1"/>
    </xf>
    <xf numFmtId="4" fontId="8" fillId="3" borderId="0" xfId="2" applyNumberFormat="1" applyFont="1" applyFill="1"/>
    <xf numFmtId="0" fontId="11" fillId="3" borderId="0" xfId="2" applyFill="1"/>
    <xf numFmtId="164" fontId="8" fillId="3" borderId="0" xfId="2" applyNumberFormat="1" applyFont="1" applyFill="1"/>
    <xf numFmtId="164" fontId="16" fillId="3" borderId="0" xfId="2" applyNumberFormat="1" applyFont="1" applyFill="1"/>
    <xf numFmtId="0" fontId="0" fillId="3" borderId="0" xfId="0" applyFill="1"/>
    <xf numFmtId="0" fontId="27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0" fillId="3" borderId="0" xfId="0" applyFill="1" applyBorder="1"/>
    <xf numFmtId="4" fontId="23" fillId="3" borderId="0" xfId="0" applyNumberFormat="1" applyFont="1" applyFill="1" applyBorder="1" applyAlignment="1">
      <alignment horizontal="right" vertical="center" wrapText="1"/>
    </xf>
    <xf numFmtId="164" fontId="8" fillId="3" borderId="0" xfId="2" applyNumberFormat="1" applyFont="1" applyFill="1" applyBorder="1"/>
    <xf numFmtId="0" fontId="7" fillId="3" borderId="0" xfId="0" applyFont="1" applyFill="1"/>
    <xf numFmtId="0" fontId="1" fillId="3" borderId="0" xfId="2" applyFont="1" applyFill="1" applyBorder="1"/>
    <xf numFmtId="0" fontId="23" fillId="3" borderId="0" xfId="0" applyFont="1" applyFill="1" applyBorder="1" applyAlignment="1">
      <alignment horizontal="right" vertical="center" wrapText="1"/>
    </xf>
    <xf numFmtId="4" fontId="24" fillId="3" borderId="0" xfId="0" applyNumberFormat="1" applyFont="1" applyFill="1" applyBorder="1" applyAlignment="1">
      <alignment horizontal="right" vertical="center" wrapText="1"/>
    </xf>
    <xf numFmtId="0" fontId="24" fillId="3" borderId="0" xfId="0" applyFont="1" applyFill="1" applyBorder="1" applyAlignment="1">
      <alignment horizontal="right" vertical="center" wrapText="1"/>
    </xf>
    <xf numFmtId="4" fontId="21" fillId="3" borderId="0" xfId="0" applyNumberFormat="1" applyFont="1" applyFill="1" applyBorder="1" applyAlignment="1">
      <alignment horizontal="right" vertical="center" wrapText="1"/>
    </xf>
    <xf numFmtId="0" fontId="17" fillId="3" borderId="0" xfId="2" applyFont="1" applyFill="1"/>
    <xf numFmtId="0" fontId="8" fillId="3" borderId="0" xfId="2" applyFont="1" applyFill="1" applyBorder="1"/>
    <xf numFmtId="164" fontId="8" fillId="3" borderId="0" xfId="1" applyNumberFormat="1" applyFont="1" applyFill="1"/>
    <xf numFmtId="0" fontId="17" fillId="3" borderId="18" xfId="1" applyFont="1" applyFill="1" applyBorder="1" applyAlignment="1">
      <alignment horizontal="center" vertical="center" wrapText="1"/>
    </xf>
    <xf numFmtId="4" fontId="17" fillId="3" borderId="15" xfId="2" applyNumberFormat="1" applyFont="1" applyFill="1" applyBorder="1" applyAlignment="1">
      <alignment horizontal="center" vertical="center" wrapText="1"/>
    </xf>
    <xf numFmtId="43" fontId="18" fillId="3" borderId="25" xfId="14" applyFont="1" applyFill="1" applyBorder="1" applyAlignment="1">
      <alignment horizontal="center" vertical="center" wrapText="1"/>
    </xf>
    <xf numFmtId="4" fontId="17" fillId="3" borderId="25" xfId="0" applyNumberFormat="1" applyFont="1" applyFill="1" applyBorder="1" applyAlignment="1">
      <alignment horizontal="right" vertical="center" wrapText="1"/>
    </xf>
    <xf numFmtId="4" fontId="21" fillId="3" borderId="25" xfId="0" applyNumberFormat="1" applyFont="1" applyFill="1" applyBorder="1" applyAlignment="1">
      <alignment horizontal="right" vertical="center" wrapText="1"/>
    </xf>
    <xf numFmtId="4" fontId="17" fillId="3" borderId="26" xfId="0" applyNumberFormat="1" applyFont="1" applyFill="1" applyBorder="1" applyAlignment="1">
      <alignment horizontal="right" vertical="center" wrapText="1"/>
    </xf>
    <xf numFmtId="4" fontId="8" fillId="3" borderId="0" xfId="2" applyNumberFormat="1" applyFont="1" applyFill="1" applyBorder="1"/>
    <xf numFmtId="0" fontId="7" fillId="3" borderId="0" xfId="0" applyFont="1" applyFill="1" applyBorder="1"/>
    <xf numFmtId="0" fontId="17" fillId="3" borderId="0" xfId="2" applyFont="1" applyFill="1" applyBorder="1" applyAlignment="1">
      <alignment horizontal="left"/>
    </xf>
    <xf numFmtId="0" fontId="17" fillId="3" borderId="0" xfId="2" applyFont="1" applyFill="1" applyBorder="1"/>
    <xf numFmtId="0" fontId="17" fillId="3" borderId="15" xfId="2" applyFont="1" applyFill="1" applyBorder="1" applyAlignment="1">
      <alignment horizontal="center" vertical="center" wrapText="1"/>
    </xf>
    <xf numFmtId="164" fontId="17" fillId="3" borderId="15" xfId="2" applyNumberFormat="1" applyFont="1" applyFill="1" applyBorder="1" applyAlignment="1">
      <alignment horizontal="center" vertical="center" wrapText="1"/>
    </xf>
    <xf numFmtId="4" fontId="17" fillId="3" borderId="15" xfId="2" applyNumberFormat="1" applyFont="1" applyFill="1" applyBorder="1" applyAlignment="1">
      <alignment horizontal="center" vertical="center" wrapText="1"/>
    </xf>
    <xf numFmtId="164" fontId="17" fillId="3" borderId="21" xfId="2" applyNumberFormat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17" fillId="3" borderId="18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4" fontId="17" fillId="3" borderId="18" xfId="2" applyNumberFormat="1" applyFont="1" applyFill="1" applyBorder="1" applyAlignment="1">
      <alignment horizontal="center" vertical="center" wrapText="1"/>
    </xf>
    <xf numFmtId="4" fontId="17" fillId="3" borderId="19" xfId="2" applyNumberFormat="1" applyFont="1" applyFill="1" applyBorder="1" applyAlignment="1">
      <alignment horizontal="center" vertical="center" wrapText="1"/>
    </xf>
    <xf numFmtId="4" fontId="17" fillId="3" borderId="21" xfId="2" applyNumberFormat="1" applyFont="1" applyFill="1" applyBorder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 wrapText="1"/>
    </xf>
    <xf numFmtId="164" fontId="17" fillId="3" borderId="18" xfId="2" applyNumberFormat="1" applyFont="1" applyFill="1" applyBorder="1" applyAlignment="1">
      <alignment horizontal="center" vertical="center" wrapText="1"/>
    </xf>
    <xf numFmtId="164" fontId="17" fillId="3" borderId="21" xfId="2" applyNumberFormat="1" applyFont="1" applyFill="1" applyBorder="1" applyAlignment="1">
      <alignment horizontal="center" vertical="center" wrapText="1"/>
    </xf>
    <xf numFmtId="4" fontId="17" fillId="3" borderId="15" xfId="2" applyNumberFormat="1" applyFont="1" applyFill="1" applyBorder="1" applyAlignment="1">
      <alignment horizontal="center" vertical="center" wrapText="1"/>
    </xf>
    <xf numFmtId="0" fontId="17" fillId="3" borderId="18" xfId="3" applyNumberFormat="1" applyFont="1" applyFill="1" applyBorder="1" applyAlignment="1">
      <alignment horizontal="center" vertical="center" wrapText="1"/>
    </xf>
    <xf numFmtId="164" fontId="17" fillId="3" borderId="19" xfId="2" applyNumberFormat="1" applyFont="1" applyFill="1" applyBorder="1" applyAlignment="1">
      <alignment horizontal="center" vertical="center" wrapText="1"/>
    </xf>
    <xf numFmtId="164" fontId="17" fillId="3" borderId="15" xfId="2" applyNumberFormat="1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4" fontId="17" fillId="3" borderId="19" xfId="2" applyNumberFormat="1" applyFont="1" applyFill="1" applyBorder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 wrapText="1"/>
    </xf>
    <xf numFmtId="164" fontId="17" fillId="3" borderId="18" xfId="2" applyNumberFormat="1" applyFont="1" applyFill="1" applyBorder="1" applyAlignment="1">
      <alignment horizontal="center" vertical="center" wrapText="1"/>
    </xf>
    <xf numFmtId="0" fontId="6" fillId="3" borderId="18" xfId="1" applyFill="1" applyBorder="1"/>
    <xf numFmtId="0" fontId="8" fillId="3" borderId="7" xfId="1" applyFont="1" applyFill="1" applyBorder="1"/>
    <xf numFmtId="2" fontId="17" fillId="3" borderId="7" xfId="1" applyNumberFormat="1" applyFont="1" applyFill="1" applyBorder="1" applyAlignment="1">
      <alignment horizontal="center" vertical="center"/>
    </xf>
    <xf numFmtId="2" fontId="17" fillId="3" borderId="15" xfId="1" applyNumberFormat="1" applyFont="1" applyFill="1" applyBorder="1" applyAlignment="1">
      <alignment horizontal="center" vertical="center" wrapText="1"/>
    </xf>
    <xf numFmtId="2" fontId="17" fillId="3" borderId="32" xfId="1" applyNumberFormat="1" applyFont="1" applyFill="1" applyBorder="1" applyAlignment="1">
      <alignment horizontal="center" vertical="center"/>
    </xf>
    <xf numFmtId="4" fontId="26" fillId="3" borderId="0" xfId="1" applyNumberFormat="1" applyFont="1" applyFill="1" applyAlignment="1">
      <alignment horizontal="center"/>
    </xf>
    <xf numFmtId="4" fontId="17" fillId="3" borderId="45" xfId="2" applyNumberFormat="1" applyFont="1" applyFill="1" applyBorder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 wrapText="1"/>
    </xf>
    <xf numFmtId="4" fontId="17" fillId="3" borderId="18" xfId="2" applyNumberFormat="1" applyFont="1" applyFill="1" applyBorder="1" applyAlignment="1">
      <alignment horizontal="center" vertical="center" wrapText="1"/>
    </xf>
    <xf numFmtId="4" fontId="17" fillId="3" borderId="19" xfId="2" applyNumberFormat="1" applyFont="1" applyFill="1" applyBorder="1" applyAlignment="1">
      <alignment horizontal="center" vertical="center" wrapText="1"/>
    </xf>
    <xf numFmtId="4" fontId="17" fillId="3" borderId="21" xfId="2" applyNumberFormat="1" applyFont="1" applyFill="1" applyBorder="1" applyAlignment="1">
      <alignment horizontal="center" vertical="center" wrapText="1"/>
    </xf>
    <xf numFmtId="2" fontId="17" fillId="3" borderId="18" xfId="2" applyNumberFormat="1" applyFont="1" applyFill="1" applyBorder="1" applyAlignment="1">
      <alignment horizontal="center" vertical="center" wrapText="1"/>
    </xf>
    <xf numFmtId="2" fontId="17" fillId="3" borderId="21" xfId="2" applyNumberFormat="1" applyFont="1" applyFill="1" applyBorder="1" applyAlignment="1">
      <alignment horizontal="center" vertical="center" wrapText="1"/>
    </xf>
    <xf numFmtId="4" fontId="17" fillId="3" borderId="8" xfId="2" applyNumberFormat="1" applyFont="1" applyFill="1" applyBorder="1" applyAlignment="1">
      <alignment horizontal="center" vertical="center" wrapText="1"/>
    </xf>
    <xf numFmtId="4" fontId="17" fillId="3" borderId="15" xfId="2" applyNumberFormat="1" applyFont="1" applyFill="1" applyBorder="1" applyAlignment="1">
      <alignment horizontal="center" vertical="center" wrapText="1"/>
    </xf>
    <xf numFmtId="4" fontId="17" fillId="3" borderId="4" xfId="2" applyNumberFormat="1" applyFont="1" applyFill="1" applyBorder="1" applyAlignment="1">
      <alignment horizontal="center" vertical="center" wrapText="1"/>
    </xf>
    <xf numFmtId="164" fontId="17" fillId="3" borderId="8" xfId="2" applyNumberFormat="1" applyFont="1" applyFill="1" applyBorder="1" applyAlignment="1">
      <alignment horizontal="center" vertical="center" wrapText="1"/>
    </xf>
    <xf numFmtId="4" fontId="17" fillId="3" borderId="31" xfId="2" applyNumberFormat="1" applyFont="1" applyFill="1" applyBorder="1" applyAlignment="1">
      <alignment horizontal="center" vertical="center" wrapText="1"/>
    </xf>
    <xf numFmtId="4" fontId="17" fillId="3" borderId="20" xfId="2" applyNumberFormat="1" applyFont="1" applyFill="1" applyBorder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4" fontId="17" fillId="3" borderId="16" xfId="2" applyNumberFormat="1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164" fontId="17" fillId="3" borderId="18" xfId="2" applyNumberFormat="1" applyFont="1" applyFill="1" applyBorder="1" applyAlignment="1">
      <alignment horizontal="center" vertical="center" wrapText="1"/>
    </xf>
    <xf numFmtId="4" fontId="17" fillId="3" borderId="18" xfId="2" applyNumberFormat="1" applyFont="1" applyFill="1" applyBorder="1" applyAlignment="1">
      <alignment horizontal="center" vertical="center" wrapText="1"/>
    </xf>
    <xf numFmtId="4" fontId="17" fillId="3" borderId="8" xfId="2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164" fontId="17" fillId="3" borderId="8" xfId="2" applyNumberFormat="1" applyFont="1" applyFill="1" applyBorder="1" applyAlignment="1">
      <alignment horizontal="center" vertical="center" wrapText="1"/>
    </xf>
    <xf numFmtId="4" fontId="17" fillId="3" borderId="31" xfId="2" applyNumberFormat="1" applyFont="1" applyFill="1" applyBorder="1" applyAlignment="1">
      <alignment horizontal="center" vertical="center" wrapText="1"/>
    </xf>
    <xf numFmtId="0" fontId="17" fillId="3" borderId="42" xfId="2" applyFont="1" applyFill="1" applyBorder="1" applyAlignment="1">
      <alignment horizontal="center" vertical="center" wrapText="1"/>
    </xf>
    <xf numFmtId="0" fontId="17" fillId="3" borderId="17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7" fillId="3" borderId="17" xfId="3" applyNumberFormat="1" applyFont="1" applyFill="1" applyBorder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 wrapText="1"/>
    </xf>
    <xf numFmtId="4" fontId="17" fillId="3" borderId="15" xfId="2" applyNumberFormat="1" applyFont="1" applyFill="1" applyBorder="1" applyAlignment="1">
      <alignment horizontal="center" vertical="center" wrapText="1"/>
    </xf>
    <xf numFmtId="0" fontId="18" fillId="3" borderId="51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5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7" fillId="3" borderId="42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42" xfId="3" applyNumberFormat="1" applyFont="1" applyFill="1" applyBorder="1" applyAlignment="1">
      <alignment horizontal="center" vertical="center" wrapText="1"/>
    </xf>
    <xf numFmtId="0" fontId="17" fillId="3" borderId="6" xfId="3" applyNumberFormat="1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4" fontId="17" fillId="3" borderId="18" xfId="2" applyNumberFormat="1" applyFont="1" applyFill="1" applyBorder="1" applyAlignment="1">
      <alignment horizontal="center" vertical="center" wrapText="1"/>
    </xf>
    <xf numFmtId="4" fontId="17" fillId="3" borderId="19" xfId="2" applyNumberFormat="1" applyFont="1" applyFill="1" applyBorder="1" applyAlignment="1">
      <alignment horizontal="center" vertical="center" wrapText="1"/>
    </xf>
    <xf numFmtId="4" fontId="17" fillId="3" borderId="21" xfId="2" applyNumberFormat="1" applyFont="1" applyFill="1" applyBorder="1" applyAlignment="1">
      <alignment horizontal="center" vertical="center" wrapText="1"/>
    </xf>
    <xf numFmtId="0" fontId="17" fillId="3" borderId="19" xfId="3" applyNumberFormat="1" applyFont="1" applyFill="1" applyBorder="1" applyAlignment="1">
      <alignment horizontal="center" vertical="center" wrapText="1"/>
    </xf>
    <xf numFmtId="0" fontId="17" fillId="3" borderId="21" xfId="3" applyNumberFormat="1" applyFont="1" applyFill="1" applyBorder="1" applyAlignment="1">
      <alignment horizontal="center" vertical="center" wrapText="1"/>
    </xf>
    <xf numFmtId="2" fontId="17" fillId="3" borderId="18" xfId="2" applyNumberFormat="1" applyFont="1" applyFill="1" applyBorder="1" applyAlignment="1">
      <alignment horizontal="center" vertical="center" wrapText="1"/>
    </xf>
    <xf numFmtId="2" fontId="17" fillId="3" borderId="19" xfId="2" applyNumberFormat="1" applyFont="1" applyFill="1" applyBorder="1" applyAlignment="1">
      <alignment horizontal="center" vertical="center" wrapText="1"/>
    </xf>
    <xf numFmtId="2" fontId="17" fillId="3" borderId="21" xfId="2" applyNumberFormat="1" applyFont="1" applyFill="1" applyBorder="1" applyAlignment="1">
      <alignment horizontal="center" vertical="center" wrapText="1"/>
    </xf>
    <xf numFmtId="164" fontId="17" fillId="3" borderId="15" xfId="2" applyNumberFormat="1" applyFont="1" applyFill="1" applyBorder="1" applyAlignment="1">
      <alignment horizontal="center" vertical="center" wrapText="1"/>
    </xf>
    <xf numFmtId="164" fontId="17" fillId="3" borderId="32" xfId="2" applyNumberFormat="1" applyFont="1" applyFill="1" applyBorder="1" applyAlignment="1">
      <alignment horizontal="center" vertical="center" wrapText="1"/>
    </xf>
    <xf numFmtId="164" fontId="17" fillId="3" borderId="34" xfId="2" applyNumberFormat="1" applyFont="1" applyFill="1" applyBorder="1" applyAlignment="1">
      <alignment horizontal="center" vertical="center" wrapText="1"/>
    </xf>
    <xf numFmtId="164" fontId="17" fillId="3" borderId="33" xfId="2" applyNumberFormat="1" applyFont="1" applyFill="1" applyBorder="1" applyAlignment="1">
      <alignment horizontal="center" vertical="center" wrapText="1"/>
    </xf>
    <xf numFmtId="0" fontId="17" fillId="3" borderId="18" xfId="1" applyFont="1" applyFill="1" applyBorder="1" applyAlignment="1">
      <alignment horizontal="center" vertical="center" wrapText="1"/>
    </xf>
    <xf numFmtId="0" fontId="17" fillId="3" borderId="21" xfId="1" applyFont="1" applyFill="1" applyBorder="1" applyAlignment="1">
      <alignment horizontal="center" vertical="center" wrapText="1"/>
    </xf>
    <xf numFmtId="0" fontId="10" fillId="3" borderId="29" xfId="2" applyFont="1" applyFill="1" applyBorder="1" applyAlignment="1">
      <alignment horizontal="center" vertical="center"/>
    </xf>
    <xf numFmtId="0" fontId="10" fillId="3" borderId="30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4" fontId="17" fillId="3" borderId="16" xfId="2" applyNumberFormat="1" applyFont="1" applyFill="1" applyBorder="1" applyAlignment="1">
      <alignment horizontal="center" vertical="center" wrapText="1"/>
    </xf>
    <xf numFmtId="164" fontId="17" fillId="3" borderId="19" xfId="2" applyNumberFormat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0" fillId="3" borderId="0" xfId="2" applyFont="1" applyFill="1" applyAlignment="1">
      <alignment horizontal="center" vertical="center" wrapText="1"/>
    </xf>
    <xf numFmtId="0" fontId="10" fillId="3" borderId="0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6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17" fillId="3" borderId="32" xfId="2" applyFont="1" applyFill="1" applyBorder="1" applyAlignment="1">
      <alignment horizontal="center" vertical="center" wrapText="1"/>
    </xf>
    <xf numFmtId="0" fontId="17" fillId="3" borderId="34" xfId="2" applyFont="1" applyFill="1" applyBorder="1" applyAlignment="1">
      <alignment horizontal="center" vertical="center" wrapText="1"/>
    </xf>
    <xf numFmtId="0" fontId="17" fillId="3" borderId="33" xfId="2" applyFont="1" applyFill="1" applyBorder="1" applyAlignment="1">
      <alignment horizontal="center" vertical="center" wrapText="1"/>
    </xf>
    <xf numFmtId="0" fontId="17" fillId="3" borderId="18" xfId="3" applyNumberFormat="1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4" fontId="17" fillId="3" borderId="31" xfId="2" applyNumberFormat="1" applyFont="1" applyFill="1" applyBorder="1" applyAlignment="1">
      <alignment horizontal="center" vertical="center" wrapText="1"/>
    </xf>
    <xf numFmtId="4" fontId="17" fillId="3" borderId="20" xfId="2" applyNumberFormat="1" applyFont="1" applyFill="1" applyBorder="1" applyAlignment="1">
      <alignment horizontal="center" vertical="center" wrapText="1"/>
    </xf>
    <xf numFmtId="0" fontId="17" fillId="3" borderId="48" xfId="3" applyNumberFormat="1" applyFont="1" applyFill="1" applyBorder="1" applyAlignment="1">
      <alignment horizontal="center" vertical="center" wrapText="1"/>
    </xf>
    <xf numFmtId="0" fontId="17" fillId="3" borderId="41" xfId="3" applyNumberFormat="1" applyFont="1" applyFill="1" applyBorder="1" applyAlignment="1">
      <alignment horizontal="center" vertical="center" wrapText="1"/>
    </xf>
    <xf numFmtId="164" fontId="17" fillId="3" borderId="4" xfId="2" applyNumberFormat="1" applyFont="1" applyFill="1" applyBorder="1" applyAlignment="1">
      <alignment horizontal="center" vertical="center" wrapText="1"/>
    </xf>
    <xf numFmtId="164" fontId="17" fillId="3" borderId="21" xfId="2" applyNumberFormat="1" applyFont="1" applyFill="1" applyBorder="1" applyAlignment="1">
      <alignment horizontal="center" vertical="center" wrapText="1"/>
    </xf>
    <xf numFmtId="4" fontId="17" fillId="3" borderId="4" xfId="2" applyNumberFormat="1" applyFont="1" applyFill="1" applyBorder="1" applyAlignment="1">
      <alignment horizontal="center" vertical="center" wrapText="1"/>
    </xf>
    <xf numFmtId="164" fontId="17" fillId="3" borderId="18" xfId="2" applyNumberFormat="1" applyFont="1" applyFill="1" applyBorder="1" applyAlignment="1">
      <alignment horizontal="center" vertical="center" wrapText="1"/>
    </xf>
    <xf numFmtId="164" fontId="17" fillId="3" borderId="8" xfId="2" applyNumberFormat="1" applyFont="1" applyFill="1" applyBorder="1" applyAlignment="1">
      <alignment horizontal="center" vertical="center" wrapText="1"/>
    </xf>
    <xf numFmtId="0" fontId="17" fillId="3" borderId="38" xfId="2" applyFont="1" applyFill="1" applyBorder="1" applyAlignment="1">
      <alignment horizontal="center" vertical="center" wrapText="1"/>
    </xf>
    <xf numFmtId="0" fontId="17" fillId="3" borderId="28" xfId="2" applyFont="1" applyFill="1" applyBorder="1" applyAlignment="1">
      <alignment horizontal="center" vertical="center" wrapText="1"/>
    </xf>
    <xf numFmtId="0" fontId="17" fillId="3" borderId="39" xfId="2" applyFont="1" applyFill="1" applyBorder="1" applyAlignment="1">
      <alignment horizontal="center" vertical="center" wrapText="1"/>
    </xf>
    <xf numFmtId="4" fontId="17" fillId="3" borderId="11" xfId="0" applyNumberFormat="1" applyFont="1" applyFill="1" applyBorder="1" applyAlignment="1">
      <alignment horizontal="right" vertical="center" wrapText="1"/>
    </xf>
    <xf numFmtId="4" fontId="17" fillId="3" borderId="12" xfId="0" applyNumberFormat="1" applyFont="1" applyFill="1" applyBorder="1" applyAlignment="1">
      <alignment horizontal="right" vertical="center" wrapText="1"/>
    </xf>
    <xf numFmtId="4" fontId="21" fillId="3" borderId="0" xfId="0" applyNumberFormat="1" applyFont="1" applyFill="1" applyBorder="1" applyAlignment="1">
      <alignment horizontal="right" vertical="center" wrapText="1"/>
    </xf>
    <xf numFmtId="4" fontId="21" fillId="3" borderId="11" xfId="0" applyNumberFormat="1" applyFont="1" applyFill="1" applyBorder="1" applyAlignment="1">
      <alignment horizontal="right" vertical="center" wrapText="1"/>
    </xf>
    <xf numFmtId="4" fontId="21" fillId="3" borderId="12" xfId="0" applyNumberFormat="1" applyFont="1" applyFill="1" applyBorder="1" applyAlignment="1">
      <alignment horizontal="right" vertical="center" wrapText="1"/>
    </xf>
    <xf numFmtId="43" fontId="18" fillId="3" borderId="11" xfId="14" applyNumberFormat="1" applyFont="1" applyFill="1" applyBorder="1" applyAlignment="1">
      <alignment horizontal="center" vertical="center" wrapText="1"/>
    </xf>
    <xf numFmtId="43" fontId="18" fillId="3" borderId="12" xfId="14" applyNumberFormat="1" applyFont="1" applyFill="1" applyBorder="1" applyAlignment="1">
      <alignment horizontal="center" vertical="center" wrapText="1"/>
    </xf>
    <xf numFmtId="164" fontId="19" fillId="3" borderId="0" xfId="0" applyNumberFormat="1" applyFont="1" applyFill="1"/>
    <xf numFmtId="0" fontId="19" fillId="3" borderId="0" xfId="0" applyFont="1" applyFill="1" applyAlignment="1">
      <alignment vertical="center" wrapText="1"/>
    </xf>
    <xf numFmtId="0" fontId="17" fillId="3" borderId="45" xfId="2" applyFont="1" applyFill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0" fontId="17" fillId="3" borderId="50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4" fontId="17" fillId="3" borderId="8" xfId="2" applyNumberFormat="1" applyFont="1" applyFill="1" applyBorder="1" applyAlignment="1">
      <alignment horizontal="center" vertical="center" wrapText="1"/>
    </xf>
    <xf numFmtId="0" fontId="17" fillId="3" borderId="19" xfId="1" applyFont="1" applyFill="1" applyBorder="1" applyAlignment="1">
      <alignment horizontal="center" vertical="center" wrapText="1"/>
    </xf>
    <xf numFmtId="4" fontId="12" fillId="3" borderId="18" xfId="2" applyNumberFormat="1" applyFont="1" applyFill="1" applyBorder="1" applyAlignment="1">
      <alignment horizontal="center" vertical="center" wrapText="1"/>
    </xf>
    <xf numFmtId="4" fontId="12" fillId="3" borderId="21" xfId="2" applyNumberFormat="1" applyFont="1" applyFill="1" applyBorder="1" applyAlignment="1">
      <alignment horizontal="center" vertical="center" wrapText="1"/>
    </xf>
    <xf numFmtId="2" fontId="26" fillId="3" borderId="18" xfId="1" applyNumberFormat="1" applyFont="1" applyFill="1" applyBorder="1" applyAlignment="1">
      <alignment horizontal="center" vertical="center"/>
    </xf>
    <xf numFmtId="0" fontId="17" fillId="3" borderId="41" xfId="2" applyFont="1" applyFill="1" applyBorder="1" applyAlignment="1">
      <alignment horizontal="center" vertical="top" wrapText="1"/>
    </xf>
    <xf numFmtId="4" fontId="17" fillId="3" borderId="9" xfId="2" applyNumberFormat="1" applyFont="1" applyFill="1" applyBorder="1" applyAlignment="1">
      <alignment horizontal="center" vertical="center" wrapText="1"/>
    </xf>
    <xf numFmtId="4" fontId="17" fillId="3" borderId="38" xfId="2" applyNumberFormat="1" applyFont="1" applyFill="1" applyBorder="1" applyAlignment="1">
      <alignment horizontal="center" vertical="center" wrapText="1"/>
    </xf>
    <xf numFmtId="0" fontId="28" fillId="3" borderId="0" xfId="2" applyFont="1" applyFill="1" applyBorder="1"/>
    <xf numFmtId="4" fontId="28" fillId="3" borderId="0" xfId="2" applyNumberFormat="1" applyFont="1" applyFill="1" applyBorder="1"/>
    <xf numFmtId="0" fontId="29" fillId="3" borderId="0" xfId="0" applyFont="1" applyFill="1" applyBorder="1"/>
    <xf numFmtId="0" fontId="9" fillId="3" borderId="0" xfId="2" applyFont="1" applyFill="1" applyBorder="1" applyAlignment="1">
      <alignment horizontal="left"/>
    </xf>
    <xf numFmtId="0" fontId="23" fillId="3" borderId="0" xfId="0" applyFont="1" applyFill="1" applyBorder="1"/>
    <xf numFmtId="0" fontId="9" fillId="3" borderId="0" xfId="2" applyFont="1" applyFill="1" applyAlignment="1">
      <alignment horizontal="left"/>
    </xf>
    <xf numFmtId="0" fontId="9" fillId="3" borderId="0" xfId="2" applyFont="1" applyFill="1"/>
    <xf numFmtId="0" fontId="28" fillId="3" borderId="0" xfId="2" applyFont="1" applyFill="1"/>
  </cellXfs>
  <cellStyles count="16">
    <cellStyle name="Обычный" xfId="0" builtinId="0"/>
    <cellStyle name="Обычный 100 2" xfId="10"/>
    <cellStyle name="Обычный 2" xfId="1"/>
    <cellStyle name="Обычный 2 10" xfId="4"/>
    <cellStyle name="Обычный 2 2" xfId="2"/>
    <cellStyle name="Обычный 2 6 3" xfId="9"/>
    <cellStyle name="Обычный 29" xfId="5"/>
    <cellStyle name="Обычный 3" xfId="6"/>
    <cellStyle name="Обычный 4" xfId="7"/>
    <cellStyle name="Обычный 5" xfId="8"/>
    <cellStyle name="Обычный 6" xfId="11"/>
    <cellStyle name="Обычный 7" xfId="13"/>
    <cellStyle name="Обычный_Бизнес-план 2005 г. (РВК)1 экспериментальн 2 со 2 квартала_1" xfId="3"/>
    <cellStyle name="Обычный_Лист1" xfId="15"/>
    <cellStyle name="Финансовый" xfId="14" builtinId="3"/>
    <cellStyle name="Финансовый 2" xfId="12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C000"/>
  </sheetPr>
  <dimension ref="A1:P596"/>
  <sheetViews>
    <sheetView tabSelected="1" view="pageBreakPreview" topLeftCell="A583" zoomScale="68" zoomScaleNormal="85" zoomScaleSheetLayoutView="68" zoomScalePageLayoutView="40" workbookViewId="0">
      <selection activeCell="I594" sqref="I594"/>
    </sheetView>
  </sheetViews>
  <sheetFormatPr defaultColWidth="9.140625" defaultRowHeight="15" x14ac:dyDescent="0.25"/>
  <cols>
    <col min="1" max="1" width="41.7109375" style="37" customWidth="1"/>
    <col min="2" max="2" width="26.7109375" style="37" customWidth="1"/>
    <col min="3" max="3" width="18.85546875" style="37" customWidth="1"/>
    <col min="4" max="4" width="15.7109375" style="37" customWidth="1"/>
    <col min="5" max="5" width="16.5703125" style="37" customWidth="1"/>
    <col min="6" max="6" width="18.5703125" style="37" customWidth="1"/>
    <col min="7" max="7" width="14.42578125" style="37" customWidth="1"/>
    <col min="8" max="8" width="14.7109375" style="37" customWidth="1"/>
    <col min="9" max="9" width="19.7109375" style="37" customWidth="1"/>
    <col min="10" max="10" width="13.28515625" style="156" customWidth="1"/>
    <col min="11" max="11" width="18.5703125" style="2" hidden="1" customWidth="1"/>
    <col min="12" max="12" width="14.28515625" style="2" hidden="1" customWidth="1"/>
    <col min="13" max="14" width="9.140625" style="2"/>
    <col min="15" max="15" width="12" style="2" bestFit="1" customWidth="1"/>
    <col min="16" max="16384" width="9.140625" style="2"/>
  </cols>
  <sheetData>
    <row r="1" spans="1:12" x14ac:dyDescent="0.25">
      <c r="F1" s="75"/>
      <c r="G1" s="76"/>
      <c r="H1" s="77"/>
      <c r="I1" s="76"/>
      <c r="J1" s="76"/>
    </row>
    <row r="2" spans="1:12" ht="15.75" x14ac:dyDescent="0.25">
      <c r="A2" s="258" t="s">
        <v>0</v>
      </c>
      <c r="B2" s="258"/>
      <c r="C2" s="258"/>
      <c r="D2" s="258"/>
      <c r="E2" s="258"/>
      <c r="F2" s="258"/>
      <c r="G2" s="258"/>
      <c r="H2" s="258"/>
      <c r="I2" s="258"/>
      <c r="J2" s="258"/>
    </row>
    <row r="3" spans="1:12" ht="38.25" customHeight="1" x14ac:dyDescent="0.25">
      <c r="A3" s="259" t="s">
        <v>198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2" ht="15.75" x14ac:dyDescent="0.25">
      <c r="A4" s="260" t="s">
        <v>442</v>
      </c>
      <c r="B4" s="260"/>
      <c r="C4" s="260"/>
      <c r="D4" s="260"/>
      <c r="E4" s="260"/>
      <c r="F4" s="260"/>
      <c r="G4" s="260"/>
      <c r="H4" s="260"/>
      <c r="I4" s="260"/>
      <c r="J4" s="260"/>
      <c r="K4" s="6">
        <f>K6-K8</f>
        <v>-220994.57082384542</v>
      </c>
    </row>
    <row r="5" spans="1:12" ht="16.5" thickBot="1" x14ac:dyDescent="0.3">
      <c r="A5" s="60"/>
      <c r="B5" s="60"/>
      <c r="C5" s="60"/>
      <c r="D5" s="60"/>
      <c r="E5" s="60"/>
      <c r="F5" s="60"/>
      <c r="G5" s="60"/>
      <c r="H5" s="208"/>
      <c r="I5" s="60"/>
      <c r="J5" s="78"/>
      <c r="K5" s="10" t="s">
        <v>149</v>
      </c>
    </row>
    <row r="6" spans="1:12" ht="15.75" customHeight="1" x14ac:dyDescent="0.25">
      <c r="A6" s="261" t="s">
        <v>1</v>
      </c>
      <c r="B6" s="263" t="s">
        <v>2</v>
      </c>
      <c r="C6" s="264"/>
      <c r="D6" s="265" t="s">
        <v>3</v>
      </c>
      <c r="E6" s="265" t="s">
        <v>4</v>
      </c>
      <c r="F6" s="267" t="s">
        <v>5</v>
      </c>
      <c r="G6" s="268"/>
      <c r="H6" s="265" t="s">
        <v>6</v>
      </c>
      <c r="I6" s="263" t="s">
        <v>7</v>
      </c>
      <c r="J6" s="269"/>
      <c r="K6" s="2">
        <v>120763.36421357692</v>
      </c>
    </row>
    <row r="7" spans="1:12" ht="90.75" customHeight="1" thickBot="1" x14ac:dyDescent="0.3">
      <c r="A7" s="262"/>
      <c r="B7" s="79" t="s">
        <v>8</v>
      </c>
      <c r="C7" s="79" t="s">
        <v>9</v>
      </c>
      <c r="D7" s="266"/>
      <c r="E7" s="266"/>
      <c r="F7" s="80" t="s">
        <v>10</v>
      </c>
      <c r="G7" s="79" t="s">
        <v>11</v>
      </c>
      <c r="H7" s="266"/>
      <c r="I7" s="80" t="s">
        <v>10</v>
      </c>
      <c r="J7" s="81" t="s">
        <v>11</v>
      </c>
      <c r="K7" s="10" t="s">
        <v>148</v>
      </c>
    </row>
    <row r="8" spans="1:12" ht="15.75" x14ac:dyDescent="0.25">
      <c r="A8" s="253" t="s">
        <v>12</v>
      </c>
      <c r="B8" s="254"/>
      <c r="C8" s="254"/>
      <c r="D8" s="254"/>
      <c r="E8" s="254"/>
      <c r="F8" s="254"/>
      <c r="G8" s="254"/>
      <c r="H8" s="254"/>
      <c r="I8" s="254"/>
      <c r="J8" s="255"/>
      <c r="K8" s="6">
        <f>SUM(K9:K556)</f>
        <v>341757.93503742234</v>
      </c>
    </row>
    <row r="9" spans="1:12" ht="15" customHeight="1" x14ac:dyDescent="0.25">
      <c r="A9" s="231" t="s">
        <v>51</v>
      </c>
      <c r="B9" s="223" t="s">
        <v>67</v>
      </c>
      <c r="C9" s="223" t="s">
        <v>63</v>
      </c>
      <c r="D9" s="224">
        <v>1200.3724</v>
      </c>
      <c r="E9" s="224">
        <f>G9</f>
        <v>1200.3724</v>
      </c>
      <c r="F9" s="223" t="s">
        <v>144</v>
      </c>
      <c r="G9" s="224">
        <v>1200.3724</v>
      </c>
      <c r="H9" s="224"/>
      <c r="I9" s="223"/>
      <c r="J9" s="256"/>
      <c r="K9" s="6">
        <f>E9</f>
        <v>1200.3724</v>
      </c>
    </row>
    <row r="10" spans="1:12" x14ac:dyDescent="0.25">
      <c r="A10" s="220"/>
      <c r="B10" s="223"/>
      <c r="C10" s="223"/>
      <c r="D10" s="224"/>
      <c r="E10" s="224"/>
      <c r="F10" s="223"/>
      <c r="G10" s="224"/>
      <c r="H10" s="223"/>
      <c r="I10" s="223"/>
      <c r="J10" s="256"/>
    </row>
    <row r="11" spans="1:12" ht="28.5" x14ac:dyDescent="0.25">
      <c r="A11" s="220"/>
      <c r="B11" s="50" t="s">
        <v>68</v>
      </c>
      <c r="C11" s="50" t="s">
        <v>64</v>
      </c>
      <c r="D11" s="14">
        <v>2073.1010799999999</v>
      </c>
      <c r="E11" s="14">
        <f>G11</f>
        <v>834.95970999999997</v>
      </c>
      <c r="F11" s="50" t="s">
        <v>197</v>
      </c>
      <c r="G11" s="14">
        <v>834.95970999999997</v>
      </c>
      <c r="H11" s="196"/>
      <c r="I11" s="50"/>
      <c r="J11" s="209"/>
      <c r="K11" s="6">
        <f>E11</f>
        <v>834.95970999999997</v>
      </c>
    </row>
    <row r="12" spans="1:12" ht="28.5" x14ac:dyDescent="0.25">
      <c r="A12" s="220"/>
      <c r="B12" s="236" t="s">
        <v>66</v>
      </c>
      <c r="C12" s="236" t="s">
        <v>175</v>
      </c>
      <c r="D12" s="239">
        <v>9507.6667699999998</v>
      </c>
      <c r="E12" s="239">
        <f>+G12</f>
        <v>1356.58763</v>
      </c>
      <c r="F12" s="236" t="s">
        <v>262</v>
      </c>
      <c r="G12" s="239">
        <v>1356.58763</v>
      </c>
      <c r="H12" s="224">
        <f>+J12+J13+J14</f>
        <v>743.32023199999992</v>
      </c>
      <c r="I12" s="50" t="s">
        <v>168</v>
      </c>
      <c r="J12" s="209">
        <f>313591.18*1.18/1000</f>
        <v>370.03759239999994</v>
      </c>
      <c r="L12" s="6">
        <f>G12</f>
        <v>1356.58763</v>
      </c>
    </row>
    <row r="13" spans="1:12" ht="28.5" customHeight="1" x14ac:dyDescent="0.25">
      <c r="A13" s="220"/>
      <c r="B13" s="237"/>
      <c r="C13" s="237"/>
      <c r="D13" s="240"/>
      <c r="E13" s="240"/>
      <c r="F13" s="237"/>
      <c r="G13" s="240"/>
      <c r="H13" s="224"/>
      <c r="I13" s="50" t="s">
        <v>167</v>
      </c>
      <c r="J13" s="209">
        <f>181411.07*1.18/1000</f>
        <v>214.0650626</v>
      </c>
      <c r="L13" s="6"/>
    </row>
    <row r="14" spans="1:12" ht="28.5" customHeight="1" x14ac:dyDescent="0.25">
      <c r="A14" s="220"/>
      <c r="B14" s="237"/>
      <c r="C14" s="237"/>
      <c r="D14" s="240"/>
      <c r="E14" s="240"/>
      <c r="F14" s="238"/>
      <c r="G14" s="241"/>
      <c r="H14" s="224"/>
      <c r="I14" s="50" t="s">
        <v>367</v>
      </c>
      <c r="J14" s="209">
        <f>134930.15*1.18/1000</f>
        <v>159.21757699999998</v>
      </c>
      <c r="L14" s="6"/>
    </row>
    <row r="15" spans="1:12" ht="35.25" customHeight="1" x14ac:dyDescent="0.25">
      <c r="A15" s="220"/>
      <c r="B15" s="237"/>
      <c r="C15" s="237"/>
      <c r="D15" s="240"/>
      <c r="E15" s="14">
        <f>G15</f>
        <v>370.03759000000002</v>
      </c>
      <c r="F15" s="52" t="s">
        <v>263</v>
      </c>
      <c r="G15" s="15">
        <f>370037.59/1000</f>
        <v>370.03759000000002</v>
      </c>
      <c r="H15" s="203">
        <f>J15</f>
        <v>235.94771419999998</v>
      </c>
      <c r="I15" s="50" t="s">
        <v>326</v>
      </c>
      <c r="J15" s="209">
        <f>199955.69*1.18/1000</f>
        <v>235.94771419999998</v>
      </c>
      <c r="L15" s="6"/>
    </row>
    <row r="16" spans="1:12" ht="35.25" customHeight="1" x14ac:dyDescent="0.25">
      <c r="A16" s="220"/>
      <c r="B16" s="237"/>
      <c r="C16" s="237"/>
      <c r="D16" s="240"/>
      <c r="E16" s="14">
        <f>G16</f>
        <v>214.06505999999999</v>
      </c>
      <c r="F16" s="52" t="s">
        <v>264</v>
      </c>
      <c r="G16" s="15">
        <f>214065.06/1000</f>
        <v>214.06505999999999</v>
      </c>
      <c r="H16" s="203">
        <f>J16</f>
        <v>688.41230680000001</v>
      </c>
      <c r="I16" s="50" t="s">
        <v>325</v>
      </c>
      <c r="J16" s="209">
        <f>583400.26*1.18/1000</f>
        <v>688.41230680000001</v>
      </c>
      <c r="L16" s="6"/>
    </row>
    <row r="17" spans="1:15" ht="35.25" customHeight="1" x14ac:dyDescent="0.25">
      <c r="A17" s="220"/>
      <c r="B17" s="237"/>
      <c r="C17" s="237"/>
      <c r="D17" s="240"/>
      <c r="E17" s="14">
        <f>G17</f>
        <v>159.21758</v>
      </c>
      <c r="F17" s="52" t="s">
        <v>342</v>
      </c>
      <c r="G17" s="15">
        <f>159217.58/1000</f>
        <v>159.21758</v>
      </c>
      <c r="H17" s="203">
        <f>J17</f>
        <v>254.49025779999997</v>
      </c>
      <c r="I17" s="50" t="s">
        <v>368</v>
      </c>
      <c r="J17" s="209">
        <f>215669.71*1.18/1000</f>
        <v>254.49025779999997</v>
      </c>
      <c r="L17" s="6"/>
      <c r="O17" s="6"/>
    </row>
    <row r="18" spans="1:15" ht="35.25" customHeight="1" x14ac:dyDescent="0.25">
      <c r="A18" s="220"/>
      <c r="B18" s="237"/>
      <c r="C18" s="237"/>
      <c r="D18" s="240"/>
      <c r="E18" s="15">
        <f>G18</f>
        <v>688.41231000000005</v>
      </c>
      <c r="F18" s="52" t="s">
        <v>457</v>
      </c>
      <c r="G18" s="15">
        <f>688412.31/1000</f>
        <v>688.41231000000005</v>
      </c>
      <c r="H18" s="203">
        <f>J18</f>
        <v>488.21869879999997</v>
      </c>
      <c r="I18" s="50" t="s">
        <v>368</v>
      </c>
      <c r="J18" s="209">
        <f>413744.66*1.18/1000</f>
        <v>488.21869879999997</v>
      </c>
      <c r="L18" s="6"/>
    </row>
    <row r="19" spans="1:15" ht="35.25" customHeight="1" x14ac:dyDescent="0.25">
      <c r="A19" s="220"/>
      <c r="B19" s="237"/>
      <c r="C19" s="237"/>
      <c r="D19" s="240"/>
      <c r="E19" s="14">
        <f>G19</f>
        <v>235.94771</v>
      </c>
      <c r="F19" s="50" t="s">
        <v>458</v>
      </c>
      <c r="G19" s="14">
        <f>235947.71/1000</f>
        <v>235.94771</v>
      </c>
      <c r="H19" s="203">
        <f>J19</f>
        <v>192.51360159999999</v>
      </c>
      <c r="I19" s="50" t="s">
        <v>369</v>
      </c>
      <c r="J19" s="203">
        <f>163147.12*1.18/1000</f>
        <v>192.51360159999999</v>
      </c>
      <c r="L19" s="6"/>
    </row>
    <row r="20" spans="1:15" ht="35.25" customHeight="1" x14ac:dyDescent="0.25">
      <c r="A20" s="220"/>
      <c r="B20" s="237"/>
      <c r="C20" s="237"/>
      <c r="D20" s="240"/>
      <c r="E20" s="32">
        <f>+G20</f>
        <v>192.5136</v>
      </c>
      <c r="F20" s="31" t="s">
        <v>495</v>
      </c>
      <c r="G20" s="32">
        <f>192513.6/1000</f>
        <v>192.5136</v>
      </c>
      <c r="H20" s="203">
        <f t="shared" ref="H20:H26" si="0">+J20</f>
        <v>488.01288319999998</v>
      </c>
      <c r="I20" s="223" t="s">
        <v>638</v>
      </c>
      <c r="J20" s="203">
        <f>413570.24*1.18/1000</f>
        <v>488.01288319999998</v>
      </c>
      <c r="L20" s="6"/>
    </row>
    <row r="21" spans="1:15" ht="34.5" customHeight="1" x14ac:dyDescent="0.25">
      <c r="A21" s="220"/>
      <c r="B21" s="237"/>
      <c r="C21" s="237"/>
      <c r="D21" s="240"/>
      <c r="E21" s="82">
        <f>+G21</f>
        <v>488.01288</v>
      </c>
      <c r="F21" s="83" t="s">
        <v>496</v>
      </c>
      <c r="G21" s="82">
        <f>488012.88/1000</f>
        <v>488.01288</v>
      </c>
      <c r="H21" s="203">
        <f t="shared" si="0"/>
        <v>-488.21869879999997</v>
      </c>
      <c r="I21" s="223"/>
      <c r="J21" s="27">
        <f>-413744.66*1.18/1000</f>
        <v>-488.21869879999997</v>
      </c>
      <c r="L21" s="6"/>
    </row>
    <row r="22" spans="1:15" ht="35.25" customHeight="1" x14ac:dyDescent="0.25">
      <c r="A22" s="220"/>
      <c r="B22" s="237"/>
      <c r="C22" s="237"/>
      <c r="D22" s="240"/>
      <c r="E22" s="14">
        <f>+G22</f>
        <v>254.49026000000001</v>
      </c>
      <c r="F22" s="50" t="s">
        <v>497</v>
      </c>
      <c r="G22" s="14">
        <f>254490.26/1000</f>
        <v>254.49026000000001</v>
      </c>
      <c r="H22" s="198">
        <f t="shared" si="0"/>
        <v>75.642307000000002</v>
      </c>
      <c r="I22" s="174" t="s">
        <v>609</v>
      </c>
      <c r="J22" s="195">
        <f>64103.65*1.18/1000</f>
        <v>75.642307000000002</v>
      </c>
      <c r="L22" s="6"/>
    </row>
    <row r="23" spans="1:15" ht="36.75" customHeight="1" x14ac:dyDescent="0.25">
      <c r="A23" s="220"/>
      <c r="B23" s="237"/>
      <c r="C23" s="237"/>
      <c r="D23" s="240"/>
      <c r="E23" s="14"/>
      <c r="F23" s="50"/>
      <c r="G23" s="14"/>
      <c r="H23" s="84">
        <f t="shared" si="0"/>
        <v>278.29612060000005</v>
      </c>
      <c r="I23" s="178" t="s">
        <v>608</v>
      </c>
      <c r="J23" s="84">
        <f>235844.17*1.18/1000</f>
        <v>278.29612060000005</v>
      </c>
      <c r="L23" s="6"/>
    </row>
    <row r="24" spans="1:15" ht="40.5" customHeight="1" x14ac:dyDescent="0.25">
      <c r="A24" s="220"/>
      <c r="B24" s="238"/>
      <c r="C24" s="238"/>
      <c r="D24" s="241"/>
      <c r="E24" s="48"/>
      <c r="F24" s="48"/>
      <c r="G24" s="48"/>
      <c r="H24" s="203">
        <f t="shared" si="0"/>
        <v>91.232018599999989</v>
      </c>
      <c r="I24" s="178" t="s">
        <v>610</v>
      </c>
      <c r="J24" s="203">
        <f>77315.27*1.18/1000</f>
        <v>91.232018599999989</v>
      </c>
      <c r="L24" s="6"/>
    </row>
    <row r="25" spans="1:15" ht="40.5" customHeight="1" x14ac:dyDescent="0.25">
      <c r="A25" s="220"/>
      <c r="B25" s="174"/>
      <c r="C25" s="174"/>
      <c r="D25" s="177"/>
      <c r="E25" s="189"/>
      <c r="F25" s="48"/>
      <c r="G25" s="48"/>
      <c r="H25" s="203">
        <f t="shared" si="0"/>
        <v>299.1237696</v>
      </c>
      <c r="I25" s="178" t="s">
        <v>637</v>
      </c>
      <c r="J25" s="203">
        <f>253494.72*1.18/1000</f>
        <v>299.1237696</v>
      </c>
      <c r="L25" s="6"/>
    </row>
    <row r="26" spans="1:15" ht="40.5" customHeight="1" x14ac:dyDescent="0.25">
      <c r="A26" s="220"/>
      <c r="B26" s="174"/>
      <c r="C26" s="174"/>
      <c r="D26" s="177"/>
      <c r="E26" s="189"/>
      <c r="F26" s="48"/>
      <c r="G26" s="48"/>
      <c r="H26" s="84">
        <f t="shared" si="0"/>
        <v>315.98655959999996</v>
      </c>
      <c r="I26" s="178" t="s">
        <v>585</v>
      </c>
      <c r="J26" s="84">
        <f>267785.22*1.18/1000</f>
        <v>315.98655959999996</v>
      </c>
      <c r="L26" s="6"/>
    </row>
    <row r="27" spans="1:15" ht="43.5" customHeight="1" x14ac:dyDescent="0.25">
      <c r="A27" s="220"/>
      <c r="B27" s="223" t="s">
        <v>66</v>
      </c>
      <c r="C27" s="223" t="s">
        <v>174</v>
      </c>
      <c r="D27" s="224">
        <v>14899.80466</v>
      </c>
      <c r="E27" s="239">
        <f>G27+G28+G29+G30</f>
        <v>10429.86328</v>
      </c>
      <c r="F27" s="50" t="s">
        <v>131</v>
      </c>
      <c r="G27" s="14">
        <f>2607465.82/1000</f>
        <v>2607.4658199999999</v>
      </c>
      <c r="H27" s="203">
        <f t="shared" ref="H27:H39" si="1">J27</f>
        <v>3724.9511704000001</v>
      </c>
      <c r="I27" s="50" t="s">
        <v>179</v>
      </c>
      <c r="J27" s="209">
        <f>3724951.1704/1000</f>
        <v>3724.9511704000001</v>
      </c>
      <c r="L27" s="6"/>
    </row>
    <row r="28" spans="1:15" ht="42.75" customHeight="1" x14ac:dyDescent="0.25">
      <c r="A28" s="220"/>
      <c r="B28" s="223"/>
      <c r="C28" s="223"/>
      <c r="D28" s="224"/>
      <c r="E28" s="240"/>
      <c r="F28" s="50" t="s">
        <v>132</v>
      </c>
      <c r="G28" s="14">
        <f>2607465.82/1000</f>
        <v>2607.4658199999999</v>
      </c>
      <c r="H28" s="203">
        <f t="shared" si="1"/>
        <v>3724.9511704000001</v>
      </c>
      <c r="I28" s="50" t="s">
        <v>181</v>
      </c>
      <c r="J28" s="209">
        <f>3724951.1704/1000</f>
        <v>3724.9511704000001</v>
      </c>
      <c r="K28"/>
      <c r="L28"/>
      <c r="M28"/>
    </row>
    <row r="29" spans="1:15" ht="42.75" x14ac:dyDescent="0.25">
      <c r="A29" s="220"/>
      <c r="B29" s="223"/>
      <c r="C29" s="223"/>
      <c r="D29" s="224"/>
      <c r="E29" s="240"/>
      <c r="F29" s="50" t="s">
        <v>201</v>
      </c>
      <c r="G29" s="14">
        <f>2607465.82/1000</f>
        <v>2607.4658199999999</v>
      </c>
      <c r="H29" s="203">
        <f t="shared" si="1"/>
        <v>3724.9511703999997</v>
      </c>
      <c r="I29" s="50" t="s">
        <v>180</v>
      </c>
      <c r="J29" s="209">
        <f>3156738.28*1.18/1000</f>
        <v>3724.9511703999997</v>
      </c>
      <c r="K29"/>
      <c r="L29"/>
      <c r="M29"/>
    </row>
    <row r="30" spans="1:15" ht="42.75" x14ac:dyDescent="0.25">
      <c r="A30" s="220"/>
      <c r="B30" s="223"/>
      <c r="C30" s="223"/>
      <c r="D30" s="224"/>
      <c r="E30" s="241"/>
      <c r="F30" s="50" t="s">
        <v>202</v>
      </c>
      <c r="G30" s="14">
        <v>2607.4658199999999</v>
      </c>
      <c r="H30" s="203">
        <f>J30</f>
        <v>3724.9511585999999</v>
      </c>
      <c r="I30" s="50" t="s">
        <v>182</v>
      </c>
      <c r="J30" s="209">
        <f>3156738.27*1.18/1000</f>
        <v>3724.9511585999999</v>
      </c>
      <c r="K30"/>
      <c r="L30"/>
      <c r="M30"/>
    </row>
    <row r="31" spans="1:15" ht="42.75" x14ac:dyDescent="0.25">
      <c r="A31" s="220"/>
      <c r="B31" s="236" t="s">
        <v>48</v>
      </c>
      <c r="C31" s="236" t="s">
        <v>49</v>
      </c>
      <c r="D31" s="239"/>
      <c r="E31" s="14">
        <f>G31</f>
        <v>37.249508399999996</v>
      </c>
      <c r="F31" s="14" t="s">
        <v>265</v>
      </c>
      <c r="G31" s="14">
        <f>31567.38*1.18/1000</f>
        <v>37.249508399999996</v>
      </c>
      <c r="H31" s="203">
        <f t="shared" si="1"/>
        <v>18.624754199999998</v>
      </c>
      <c r="I31" s="50" t="s">
        <v>183</v>
      </c>
      <c r="J31" s="209">
        <f>18624.7542/1000</f>
        <v>18.624754199999998</v>
      </c>
      <c r="K31"/>
      <c r="L31"/>
      <c r="M31"/>
    </row>
    <row r="32" spans="1:15" ht="42.75" x14ac:dyDescent="0.25">
      <c r="A32" s="220"/>
      <c r="B32" s="237"/>
      <c r="C32" s="237"/>
      <c r="D32" s="240"/>
      <c r="E32" s="14">
        <f t="shared" ref="E32:E36" si="2">G32</f>
        <v>15.736421</v>
      </c>
      <c r="F32" s="50" t="s">
        <v>265</v>
      </c>
      <c r="G32" s="14">
        <f>13335.95*1.18/1000</f>
        <v>15.736421</v>
      </c>
      <c r="H32" s="203">
        <f t="shared" si="1"/>
        <v>18.624754199999998</v>
      </c>
      <c r="I32" s="50" t="s">
        <v>184</v>
      </c>
      <c r="J32" s="209">
        <f>15783.69*1.18/1000</f>
        <v>18.624754199999998</v>
      </c>
      <c r="K32"/>
      <c r="L32"/>
      <c r="M32"/>
    </row>
    <row r="33" spans="1:14" ht="28.5" x14ac:dyDescent="0.25">
      <c r="A33" s="220"/>
      <c r="B33" s="237"/>
      <c r="C33" s="237"/>
      <c r="D33" s="240"/>
      <c r="E33" s="14">
        <f t="shared" si="2"/>
        <v>323.2833728</v>
      </c>
      <c r="F33" s="50"/>
      <c r="G33" s="14">
        <f>273968.96*1.18/1000</f>
        <v>323.2833728</v>
      </c>
      <c r="H33" s="203">
        <f t="shared" si="1"/>
        <v>15.736421</v>
      </c>
      <c r="I33" s="50" t="s">
        <v>145</v>
      </c>
      <c r="J33" s="209">
        <f>13335.95*1.18/1000</f>
        <v>15.736421</v>
      </c>
    </row>
    <row r="34" spans="1:14" x14ac:dyDescent="0.25">
      <c r="A34" s="220"/>
      <c r="B34" s="237"/>
      <c r="C34" s="237"/>
      <c r="D34" s="240"/>
      <c r="E34" s="14">
        <f t="shared" si="2"/>
        <v>1.8469241999999999</v>
      </c>
      <c r="F34" s="50"/>
      <c r="G34" s="14">
        <f>1565.19*1.18/1000</f>
        <v>1.8469241999999999</v>
      </c>
      <c r="H34" s="203">
        <f t="shared" si="1"/>
        <v>18.624754199999998</v>
      </c>
      <c r="I34" s="223" t="s">
        <v>163</v>
      </c>
      <c r="J34" s="209">
        <f>15783.69*1.18/1000</f>
        <v>18.624754199999998</v>
      </c>
    </row>
    <row r="35" spans="1:14" ht="15" customHeight="1" x14ac:dyDescent="0.25">
      <c r="A35" s="220"/>
      <c r="B35" s="237"/>
      <c r="C35" s="237"/>
      <c r="D35" s="240"/>
      <c r="E35" s="14">
        <f t="shared" si="2"/>
        <v>6.7755836</v>
      </c>
      <c r="F35" s="50"/>
      <c r="G35" s="14">
        <f>5742.02*1.18/1000</f>
        <v>6.7755836</v>
      </c>
      <c r="H35" s="203">
        <f t="shared" si="1"/>
        <v>18.624754199999998</v>
      </c>
      <c r="I35" s="223"/>
      <c r="J35" s="209">
        <f>15783.69*1.18/1000</f>
        <v>18.624754199999998</v>
      </c>
    </row>
    <row r="36" spans="1:14" ht="28.5" x14ac:dyDescent="0.25">
      <c r="A36" s="220"/>
      <c r="B36" s="237"/>
      <c r="C36" s="237"/>
      <c r="D36" s="240"/>
      <c r="E36" s="14">
        <f t="shared" si="2"/>
        <v>31.607857599999999</v>
      </c>
      <c r="F36" s="50"/>
      <c r="G36" s="14">
        <f>26786.32*1.18/1000</f>
        <v>31.607857599999999</v>
      </c>
      <c r="H36" s="203">
        <f t="shared" si="1"/>
        <v>6.7755836</v>
      </c>
      <c r="I36" s="50" t="s">
        <v>370</v>
      </c>
      <c r="J36" s="209">
        <f>5742.02*1.18/1000</f>
        <v>6.7755836</v>
      </c>
    </row>
    <row r="37" spans="1:14" ht="28.5" x14ac:dyDescent="0.25">
      <c r="A37" s="220"/>
      <c r="B37" s="237"/>
      <c r="C37" s="237"/>
      <c r="D37" s="240"/>
      <c r="E37" s="14"/>
      <c r="F37" s="50"/>
      <c r="G37" s="14"/>
      <c r="H37" s="203">
        <f t="shared" si="1"/>
        <v>1.8469241999999999</v>
      </c>
      <c r="I37" s="50" t="s">
        <v>371</v>
      </c>
      <c r="J37" s="209">
        <f>1565.19*1.18/1000</f>
        <v>1.8469241999999999</v>
      </c>
    </row>
    <row r="38" spans="1:14" ht="28.5" x14ac:dyDescent="0.25">
      <c r="A38" s="220"/>
      <c r="B38" s="237"/>
      <c r="C38" s="237"/>
      <c r="D38" s="240"/>
      <c r="E38" s="14"/>
      <c r="F38" s="50"/>
      <c r="G38" s="14"/>
      <c r="H38" s="203">
        <f t="shared" si="1"/>
        <v>10.722565599999999</v>
      </c>
      <c r="I38" s="50" t="s">
        <v>372</v>
      </c>
      <c r="J38" s="209">
        <f>9086.92*1.18/1000</f>
        <v>10.722565599999999</v>
      </c>
    </row>
    <row r="39" spans="1:14" ht="28.5" x14ac:dyDescent="0.25">
      <c r="A39" s="220"/>
      <c r="B39" s="237"/>
      <c r="C39" s="238"/>
      <c r="D39" s="241"/>
      <c r="E39" s="14"/>
      <c r="F39" s="50"/>
      <c r="G39" s="14"/>
      <c r="H39" s="203">
        <f t="shared" si="1"/>
        <v>10.848589599999999</v>
      </c>
      <c r="I39" s="50" t="s">
        <v>373</v>
      </c>
      <c r="J39" s="209">
        <f>9193.72*1.18/1000</f>
        <v>10.848589599999999</v>
      </c>
    </row>
    <row r="40" spans="1:14" ht="28.5" x14ac:dyDescent="0.25">
      <c r="A40" s="220"/>
      <c r="B40" s="237"/>
      <c r="C40" s="52"/>
      <c r="D40" s="15"/>
      <c r="E40" s="14"/>
      <c r="F40" s="50"/>
      <c r="G40" s="14"/>
      <c r="H40" s="203">
        <f>+J40</f>
        <v>7.1352830000000003</v>
      </c>
      <c r="I40" s="178" t="s">
        <v>635</v>
      </c>
      <c r="J40" s="209">
        <f>6046.85*1.18/1000</f>
        <v>7.1352830000000003</v>
      </c>
    </row>
    <row r="41" spans="1:14" ht="28.5" x14ac:dyDescent="0.25">
      <c r="A41" s="220"/>
      <c r="B41" s="238"/>
      <c r="C41" s="52"/>
      <c r="D41" s="15"/>
      <c r="E41" s="14">
        <f>+G41</f>
        <v>21.571155199999996</v>
      </c>
      <c r="F41" s="50" t="s">
        <v>552</v>
      </c>
      <c r="G41" s="14">
        <f>18280.64*1.18/1000</f>
        <v>21.571155199999996</v>
      </c>
      <c r="H41" s="203">
        <f>+J41</f>
        <v>5.1639749999999998</v>
      </c>
      <c r="I41" s="187" t="s">
        <v>645</v>
      </c>
      <c r="J41" s="209">
        <f>4376.25*1.18/1000</f>
        <v>5.1639749999999998</v>
      </c>
    </row>
    <row r="42" spans="1:14" ht="42.75" x14ac:dyDescent="0.25">
      <c r="A42" s="220"/>
      <c r="B42" s="50" t="s">
        <v>135</v>
      </c>
      <c r="C42" s="50" t="s">
        <v>134</v>
      </c>
      <c r="D42" s="14">
        <v>584.05349999999999</v>
      </c>
      <c r="E42" s="14">
        <v>156.952</v>
      </c>
      <c r="F42" s="50" t="s">
        <v>267</v>
      </c>
      <c r="G42" s="14">
        <f>E42</f>
        <v>156.952</v>
      </c>
      <c r="H42" s="203"/>
      <c r="I42" s="50"/>
      <c r="J42" s="209"/>
    </row>
    <row r="43" spans="1:14" ht="28.5" x14ac:dyDescent="0.25">
      <c r="A43" s="220"/>
      <c r="B43" s="50" t="s">
        <v>244</v>
      </c>
      <c r="C43" s="50" t="s">
        <v>203</v>
      </c>
      <c r="D43" s="14">
        <f>2324166.84/1000</f>
        <v>2324.1668399999999</v>
      </c>
      <c r="E43" s="14">
        <f>+G43</f>
        <v>490.08078</v>
      </c>
      <c r="F43" s="50" t="s">
        <v>205</v>
      </c>
      <c r="G43" s="14">
        <f>490080.78/1000</f>
        <v>490.08078</v>
      </c>
      <c r="H43" s="203"/>
      <c r="I43" s="50"/>
      <c r="J43" s="209"/>
      <c r="N43" s="13"/>
    </row>
    <row r="44" spans="1:14" ht="32.25" customHeight="1" x14ac:dyDescent="0.25">
      <c r="A44" s="220"/>
      <c r="B44" s="50" t="s">
        <v>245</v>
      </c>
      <c r="C44" s="50" t="s">
        <v>204</v>
      </c>
      <c r="D44" s="14">
        <f>1477826.08/1000</f>
        <v>1477.82608</v>
      </c>
      <c r="E44" s="14">
        <f t="shared" ref="E44:E48" si="3">G44</f>
        <v>20.189400000000003</v>
      </c>
      <c r="F44" s="50" t="s">
        <v>206</v>
      </c>
      <c r="G44" s="14">
        <f>20189.4/1000</f>
        <v>20.189400000000003</v>
      </c>
      <c r="H44" s="203"/>
      <c r="I44" s="50"/>
      <c r="J44" s="209"/>
      <c r="N44" s="6"/>
    </row>
    <row r="45" spans="1:14" ht="31.5" customHeight="1" x14ac:dyDescent="0.25">
      <c r="A45" s="220"/>
      <c r="B45" s="50" t="s">
        <v>220</v>
      </c>
      <c r="C45" s="50" t="s">
        <v>207</v>
      </c>
      <c r="D45" s="14">
        <f>1002233.7/1000</f>
        <v>1002.2337</v>
      </c>
      <c r="E45" s="14">
        <f t="shared" si="3"/>
        <v>367.97669999999999</v>
      </c>
      <c r="F45" s="50" t="s">
        <v>209</v>
      </c>
      <c r="G45" s="14">
        <f>367976.7/1000</f>
        <v>367.97669999999999</v>
      </c>
      <c r="H45" s="203"/>
      <c r="I45" s="50"/>
      <c r="J45" s="209"/>
    </row>
    <row r="46" spans="1:14" ht="28.5" x14ac:dyDescent="0.25">
      <c r="A46" s="220"/>
      <c r="B46" s="50" t="s">
        <v>53</v>
      </c>
      <c r="C46" s="50" t="s">
        <v>208</v>
      </c>
      <c r="D46" s="14">
        <f>1399610.43/1000</f>
        <v>1399.61043</v>
      </c>
      <c r="E46" s="14">
        <f t="shared" si="3"/>
        <v>27.608150000000002</v>
      </c>
      <c r="F46" s="50" t="s">
        <v>210</v>
      </c>
      <c r="G46" s="14">
        <f>27608.15/1000</f>
        <v>27.608150000000002</v>
      </c>
      <c r="H46" s="203"/>
      <c r="I46" s="50"/>
      <c r="J46" s="209"/>
    </row>
    <row r="47" spans="1:14" ht="28.5" x14ac:dyDescent="0.25">
      <c r="A47" s="220"/>
      <c r="B47" s="50" t="s">
        <v>268</v>
      </c>
      <c r="C47" s="50" t="s">
        <v>249</v>
      </c>
      <c r="D47" s="14">
        <f>437874.4/1000</f>
        <v>437.87440000000004</v>
      </c>
      <c r="E47" s="14">
        <f t="shared" si="3"/>
        <v>84.38888</v>
      </c>
      <c r="F47" s="50" t="s">
        <v>266</v>
      </c>
      <c r="G47" s="14">
        <f>84388.88/1000</f>
        <v>84.38888</v>
      </c>
      <c r="H47" s="203"/>
      <c r="I47" s="50"/>
      <c r="J47" s="209"/>
    </row>
    <row r="48" spans="1:14" ht="33" customHeight="1" x14ac:dyDescent="0.25">
      <c r="A48" s="220"/>
      <c r="B48" s="236" t="s">
        <v>245</v>
      </c>
      <c r="C48" s="236" t="s">
        <v>340</v>
      </c>
      <c r="D48" s="239">
        <v>976.03217000000006</v>
      </c>
      <c r="E48" s="14">
        <f t="shared" si="3"/>
        <v>59.004940000000005</v>
      </c>
      <c r="F48" s="50" t="s">
        <v>345</v>
      </c>
      <c r="G48" s="14">
        <f>59004.94/1000</f>
        <v>59.004940000000005</v>
      </c>
      <c r="H48" s="203"/>
      <c r="I48" s="50"/>
      <c r="J48" s="209"/>
    </row>
    <row r="49" spans="1:15" ht="33" customHeight="1" x14ac:dyDescent="0.25">
      <c r="A49" s="220"/>
      <c r="B49" s="238"/>
      <c r="C49" s="238"/>
      <c r="D49" s="241"/>
      <c r="E49" s="14">
        <f>G49</f>
        <v>38.516379999999998</v>
      </c>
      <c r="F49" s="50" t="s">
        <v>454</v>
      </c>
      <c r="G49" s="14">
        <f>38516.38/1000</f>
        <v>38.516379999999998</v>
      </c>
      <c r="H49" s="203"/>
      <c r="I49" s="50"/>
      <c r="J49" s="209"/>
      <c r="O49" s="6">
        <f>G53+G52+G50+G49+G19+G18</f>
        <v>991.61876000000007</v>
      </c>
    </row>
    <row r="50" spans="1:15" ht="33" customHeight="1" x14ac:dyDescent="0.25">
      <c r="A50" s="220"/>
      <c r="B50" s="31"/>
      <c r="C50" s="31"/>
      <c r="D50" s="32"/>
      <c r="E50" s="14">
        <f>G50</f>
        <v>22.009360000000001</v>
      </c>
      <c r="F50" s="50" t="s">
        <v>455</v>
      </c>
      <c r="G50" s="14">
        <f>22009.36/1000</f>
        <v>22.009360000000001</v>
      </c>
      <c r="H50" s="203"/>
      <c r="I50" s="50"/>
      <c r="J50" s="209"/>
    </row>
    <row r="51" spans="1:15" ht="33" customHeight="1" x14ac:dyDescent="0.25">
      <c r="A51" s="220"/>
      <c r="B51" s="236" t="s">
        <v>135</v>
      </c>
      <c r="C51" s="236" t="s">
        <v>134</v>
      </c>
      <c r="D51" s="239">
        <v>584.05349999999999</v>
      </c>
      <c r="E51" s="14">
        <f t="shared" ref="E51" si="4">G51</f>
        <v>21.621299999999998</v>
      </c>
      <c r="F51" s="50" t="s">
        <v>344</v>
      </c>
      <c r="G51" s="14">
        <f>21621.3/1000</f>
        <v>21.621299999999998</v>
      </c>
      <c r="H51" s="203"/>
      <c r="I51" s="50"/>
      <c r="J51" s="209"/>
    </row>
    <row r="52" spans="1:15" ht="33" customHeight="1" x14ac:dyDescent="0.25">
      <c r="A52" s="220"/>
      <c r="B52" s="237"/>
      <c r="C52" s="237"/>
      <c r="D52" s="240"/>
      <c r="E52" s="14">
        <f>G52</f>
        <v>2.64</v>
      </c>
      <c r="F52" s="50" t="s">
        <v>456</v>
      </c>
      <c r="G52" s="14">
        <f>2640/1000</f>
        <v>2.64</v>
      </c>
      <c r="H52" s="203"/>
      <c r="I52" s="50"/>
      <c r="J52" s="209"/>
    </row>
    <row r="53" spans="1:15" ht="33" customHeight="1" x14ac:dyDescent="0.25">
      <c r="A53" s="220"/>
      <c r="B53" s="51" t="s">
        <v>445</v>
      </c>
      <c r="C53" s="50" t="s">
        <v>446</v>
      </c>
      <c r="D53" s="14"/>
      <c r="E53" s="14">
        <f>G53</f>
        <v>4.093</v>
      </c>
      <c r="F53" s="50" t="s">
        <v>453</v>
      </c>
      <c r="G53" s="14">
        <v>4.093</v>
      </c>
      <c r="H53" s="203"/>
      <c r="I53" s="50"/>
      <c r="J53" s="209"/>
    </row>
    <row r="54" spans="1:15" s="22" customFormat="1" ht="33" customHeight="1" x14ac:dyDescent="0.25">
      <c r="A54" s="220"/>
      <c r="B54" s="85" t="s">
        <v>221</v>
      </c>
      <c r="C54" s="50" t="s">
        <v>490</v>
      </c>
      <c r="D54" s="14"/>
      <c r="E54" s="14">
        <f>+G54</f>
        <v>106.971</v>
      </c>
      <c r="F54" s="50" t="s">
        <v>491</v>
      </c>
      <c r="G54" s="14">
        <f>106971/1000</f>
        <v>106.971</v>
      </c>
      <c r="H54" s="203"/>
      <c r="I54" s="50"/>
      <c r="J54" s="209"/>
    </row>
    <row r="55" spans="1:15" s="22" customFormat="1" ht="42" customHeight="1" x14ac:dyDescent="0.25">
      <c r="A55" s="220"/>
      <c r="B55" s="85" t="s">
        <v>492</v>
      </c>
      <c r="C55" s="14" t="s">
        <v>493</v>
      </c>
      <c r="D55" s="14"/>
      <c r="E55" s="14">
        <f>+G55</f>
        <v>49.24</v>
      </c>
      <c r="F55" s="50" t="s">
        <v>494</v>
      </c>
      <c r="G55" s="14">
        <f>49240/1000</f>
        <v>49.24</v>
      </c>
      <c r="H55" s="203"/>
      <c r="I55" s="50"/>
      <c r="J55" s="209"/>
    </row>
    <row r="56" spans="1:15" ht="63.75" customHeight="1" x14ac:dyDescent="0.25">
      <c r="A56" s="220"/>
      <c r="B56" s="223" t="s">
        <v>136</v>
      </c>
      <c r="C56" s="223"/>
      <c r="D56" s="223"/>
      <c r="E56" s="14"/>
      <c r="F56" s="47"/>
      <c r="G56" s="14"/>
      <c r="H56" s="203">
        <f>J56</f>
        <v>591.16215839999995</v>
      </c>
      <c r="I56" s="47" t="s">
        <v>177</v>
      </c>
      <c r="J56" s="209">
        <f>500984.88*1.18/1000</f>
        <v>591.16215839999995</v>
      </c>
    </row>
    <row r="57" spans="1:15" ht="64.5" customHeight="1" x14ac:dyDescent="0.25">
      <c r="A57" s="220" t="s">
        <v>51</v>
      </c>
      <c r="B57" s="223" t="s">
        <v>374</v>
      </c>
      <c r="C57" s="223"/>
      <c r="D57" s="223"/>
      <c r="E57" s="14"/>
      <c r="F57" s="47"/>
      <c r="G57" s="14"/>
      <c r="H57" s="203">
        <f>J57</f>
        <v>8.865635000000001</v>
      </c>
      <c r="I57" s="50" t="s">
        <v>375</v>
      </c>
      <c r="J57" s="209">
        <f>7513.25*1.18/1000</f>
        <v>8.865635000000001</v>
      </c>
    </row>
    <row r="58" spans="1:15" ht="58.5" customHeight="1" x14ac:dyDescent="0.25">
      <c r="A58" s="220"/>
      <c r="B58" s="248" t="s">
        <v>251</v>
      </c>
      <c r="C58" s="249"/>
      <c r="D58" s="250"/>
      <c r="E58" s="14"/>
      <c r="F58" s="47"/>
      <c r="G58" s="14"/>
      <c r="H58" s="203">
        <f>J58</f>
        <v>3200.8753041999998</v>
      </c>
      <c r="I58" s="47" t="s">
        <v>376</v>
      </c>
      <c r="J58" s="209">
        <f>2712606.19*1.18/1000</f>
        <v>3200.8753041999998</v>
      </c>
    </row>
    <row r="59" spans="1:15" ht="58.5" customHeight="1" x14ac:dyDescent="0.25">
      <c r="A59" s="220"/>
      <c r="B59" s="248" t="s">
        <v>348</v>
      </c>
      <c r="C59" s="249"/>
      <c r="D59" s="250"/>
      <c r="E59" s="14"/>
      <c r="F59" s="47"/>
      <c r="G59" s="14"/>
      <c r="H59" s="203">
        <f>J59</f>
        <v>1826.5169023999997</v>
      </c>
      <c r="I59" s="47" t="s">
        <v>472</v>
      </c>
      <c r="J59" s="209">
        <f>1547895.68*1.18/1000</f>
        <v>1826.5169023999997</v>
      </c>
    </row>
    <row r="60" spans="1:15" ht="58.5" customHeight="1" x14ac:dyDescent="0.25">
      <c r="A60" s="220"/>
      <c r="B60" s="248" t="s">
        <v>549</v>
      </c>
      <c r="C60" s="249"/>
      <c r="D60" s="250"/>
      <c r="E60" s="48"/>
      <c r="F60" s="48"/>
      <c r="G60" s="48"/>
      <c r="H60" s="84">
        <f>+J60</f>
        <v>1.3223315999999998</v>
      </c>
      <c r="I60" s="184" t="s">
        <v>623</v>
      </c>
      <c r="J60" s="84">
        <f>1120.62*1.18/1000</f>
        <v>1.3223315999999998</v>
      </c>
    </row>
    <row r="61" spans="1:15" ht="51" customHeight="1" x14ac:dyDescent="0.25">
      <c r="A61" s="220"/>
      <c r="B61" s="248" t="s">
        <v>550</v>
      </c>
      <c r="C61" s="249"/>
      <c r="D61" s="250"/>
      <c r="E61" s="48"/>
      <c r="F61" s="48"/>
      <c r="G61" s="48"/>
      <c r="H61" s="84">
        <f>+J61</f>
        <v>13.9227492</v>
      </c>
      <c r="I61" s="184" t="s">
        <v>624</v>
      </c>
      <c r="J61" s="84">
        <f>11798.94*1.18/1000</f>
        <v>13.9227492</v>
      </c>
    </row>
    <row r="62" spans="1:15" ht="21" customHeight="1" x14ac:dyDescent="0.25">
      <c r="A62" s="220"/>
      <c r="B62" s="247" t="s">
        <v>115</v>
      </c>
      <c r="C62" s="247"/>
      <c r="D62" s="47" t="s">
        <v>13</v>
      </c>
      <c r="E62" s="14">
        <f>349.83/1000</f>
        <v>0.34982999999999997</v>
      </c>
      <c r="F62" s="14" t="s">
        <v>13</v>
      </c>
      <c r="G62" s="14">
        <f t="shared" ref="G62:G153" si="5">E62</f>
        <v>0.34982999999999997</v>
      </c>
      <c r="H62" s="203">
        <f>349.83/1000</f>
        <v>0.34982999999999997</v>
      </c>
      <c r="I62" s="14" t="s">
        <v>13</v>
      </c>
      <c r="J62" s="209">
        <f>H62</f>
        <v>0.34982999999999997</v>
      </c>
      <c r="L62" s="6">
        <f>G62</f>
        <v>0.34982999999999997</v>
      </c>
    </row>
    <row r="63" spans="1:15" ht="15.75" customHeight="1" x14ac:dyDescent="0.25">
      <c r="A63" s="220"/>
      <c r="B63" s="247" t="s">
        <v>133</v>
      </c>
      <c r="C63" s="247"/>
      <c r="D63" s="47" t="s">
        <v>13</v>
      </c>
      <c r="E63" s="14">
        <v>10.844659999999999</v>
      </c>
      <c r="F63" s="14" t="s">
        <v>13</v>
      </c>
      <c r="G63" s="14">
        <f t="shared" si="5"/>
        <v>10.844659999999999</v>
      </c>
      <c r="H63" s="203">
        <v>10.844659999999999</v>
      </c>
      <c r="I63" s="14" t="s">
        <v>13</v>
      </c>
      <c r="J63" s="209">
        <f t="shared" ref="J63:J64" si="6">H63</f>
        <v>10.844659999999999</v>
      </c>
      <c r="L63" s="6"/>
    </row>
    <row r="64" spans="1:15" ht="15.75" customHeight="1" x14ac:dyDescent="0.25">
      <c r="A64" s="220"/>
      <c r="B64" s="247" t="s">
        <v>211</v>
      </c>
      <c r="C64" s="247"/>
      <c r="D64" s="47" t="s">
        <v>13</v>
      </c>
      <c r="E64" s="14">
        <f>10494.84/1000</f>
        <v>10.49484</v>
      </c>
      <c r="F64" s="14" t="s">
        <v>13</v>
      </c>
      <c r="G64" s="14">
        <f t="shared" si="5"/>
        <v>10.49484</v>
      </c>
      <c r="H64" s="203">
        <f>10494.84/1000</f>
        <v>10.49484</v>
      </c>
      <c r="I64" s="14" t="s">
        <v>13</v>
      </c>
      <c r="J64" s="209">
        <f t="shared" si="6"/>
        <v>10.49484</v>
      </c>
      <c r="L64" s="6"/>
    </row>
    <row r="65" spans="1:15" ht="15.75" customHeight="1" x14ac:dyDescent="0.25">
      <c r="A65" s="220"/>
      <c r="B65" s="247" t="s">
        <v>250</v>
      </c>
      <c r="C65" s="247"/>
      <c r="D65" s="47"/>
      <c r="E65" s="14">
        <f>G65</f>
        <v>10.844659999999999</v>
      </c>
      <c r="F65" s="158" t="s">
        <v>13</v>
      </c>
      <c r="G65" s="14">
        <f>10844.66/1000</f>
        <v>10.844659999999999</v>
      </c>
      <c r="H65" s="203">
        <f>J65</f>
        <v>10.844659999999999</v>
      </c>
      <c r="I65" s="169" t="s">
        <v>13</v>
      </c>
      <c r="J65" s="209">
        <f>10844.66/1000</f>
        <v>10.844659999999999</v>
      </c>
      <c r="L65" s="6"/>
    </row>
    <row r="66" spans="1:15" ht="15.75" customHeight="1" x14ac:dyDescent="0.25">
      <c r="A66" s="220"/>
      <c r="B66" s="247" t="s">
        <v>349</v>
      </c>
      <c r="C66" s="247"/>
      <c r="D66" s="47"/>
      <c r="E66" s="14">
        <f>G66</f>
        <v>10.49484</v>
      </c>
      <c r="F66" s="158" t="s">
        <v>13</v>
      </c>
      <c r="G66" s="14">
        <f>10494.84/1000</f>
        <v>10.49484</v>
      </c>
      <c r="H66" s="203">
        <f>J66</f>
        <v>10.49484</v>
      </c>
      <c r="I66" s="169" t="s">
        <v>13</v>
      </c>
      <c r="J66" s="209">
        <f>10494.84/1000</f>
        <v>10.49484</v>
      </c>
      <c r="L66" s="6"/>
    </row>
    <row r="67" spans="1:15" ht="20.25" customHeight="1" x14ac:dyDescent="0.25">
      <c r="A67" s="220"/>
      <c r="B67" s="257" t="s">
        <v>459</v>
      </c>
      <c r="C67" s="257"/>
      <c r="D67" s="53"/>
      <c r="E67" s="32">
        <f>G67</f>
        <v>10.844659999999999</v>
      </c>
      <c r="F67" s="158" t="s">
        <v>13</v>
      </c>
      <c r="G67" s="32">
        <f>10844.66/1000</f>
        <v>10.844659999999999</v>
      </c>
      <c r="H67" s="203">
        <f t="shared" ref="H67:H69" si="7">J67</f>
        <v>10.844659999999999</v>
      </c>
      <c r="I67" s="169" t="s">
        <v>472</v>
      </c>
      <c r="J67" s="198">
        <f>10844.66/1000</f>
        <v>10.844659999999999</v>
      </c>
      <c r="L67" s="6"/>
    </row>
    <row r="68" spans="1:15" ht="20.25" customHeight="1" x14ac:dyDescent="0.25">
      <c r="A68" s="220"/>
      <c r="B68" s="247" t="s">
        <v>546</v>
      </c>
      <c r="C68" s="247"/>
      <c r="D68" s="48"/>
      <c r="E68" s="86">
        <f>+G68</f>
        <v>10.844659999999999</v>
      </c>
      <c r="F68" s="158" t="s">
        <v>13</v>
      </c>
      <c r="G68" s="86">
        <f>10844.66/1000</f>
        <v>10.844659999999999</v>
      </c>
      <c r="H68" s="203">
        <f t="shared" si="7"/>
        <v>10.844659999999999</v>
      </c>
      <c r="I68" s="169" t="s">
        <v>13</v>
      </c>
      <c r="J68" s="86">
        <f>10844.66/1000</f>
        <v>10.844659999999999</v>
      </c>
      <c r="L68" s="6"/>
    </row>
    <row r="69" spans="1:15" ht="20.25" customHeight="1" thickBot="1" x14ac:dyDescent="0.3">
      <c r="A69" s="221"/>
      <c r="B69" s="247" t="s">
        <v>548</v>
      </c>
      <c r="C69" s="247"/>
      <c r="D69" s="87"/>
      <c r="E69" s="88">
        <f>+G69</f>
        <v>10.49484</v>
      </c>
      <c r="F69" s="158" t="s">
        <v>13</v>
      </c>
      <c r="G69" s="88">
        <f>10494.84/1000</f>
        <v>10.49484</v>
      </c>
      <c r="H69" s="203">
        <f t="shared" si="7"/>
        <v>10.49484</v>
      </c>
      <c r="I69" s="169" t="s">
        <v>13</v>
      </c>
      <c r="J69" s="88">
        <f>10494.84/1000</f>
        <v>10.49484</v>
      </c>
      <c r="K69" s="6"/>
      <c r="L69" s="6"/>
    </row>
    <row r="70" spans="1:15" ht="32.25" customHeight="1" x14ac:dyDescent="0.25">
      <c r="A70" s="232" t="s">
        <v>52</v>
      </c>
      <c r="B70" s="52" t="s">
        <v>53</v>
      </c>
      <c r="C70" s="52" t="s">
        <v>50</v>
      </c>
      <c r="D70" s="15">
        <f t="shared" ref="D70" si="8">8817712.56/1000</f>
        <v>8817.7125599999999</v>
      </c>
      <c r="E70" s="15">
        <f>G70</f>
        <v>4397.2747200000003</v>
      </c>
      <c r="F70" s="52" t="s">
        <v>269</v>
      </c>
      <c r="G70" s="15">
        <v>4397.2747200000003</v>
      </c>
      <c r="H70" s="199"/>
      <c r="I70" s="52"/>
      <c r="J70" s="207"/>
      <c r="K70" s="6">
        <f>E70</f>
        <v>4397.2747200000003</v>
      </c>
    </row>
    <row r="71" spans="1:15" ht="31.5" customHeight="1" x14ac:dyDescent="0.25">
      <c r="A71" s="220"/>
      <c r="B71" s="50" t="s">
        <v>68</v>
      </c>
      <c r="C71" s="50" t="s">
        <v>64</v>
      </c>
      <c r="D71" s="14">
        <v>2073.1010799999999</v>
      </c>
      <c r="E71" s="14">
        <v>1238.0420899999999</v>
      </c>
      <c r="F71" s="50" t="s">
        <v>270</v>
      </c>
      <c r="G71" s="14">
        <f t="shared" si="5"/>
        <v>1238.0420899999999</v>
      </c>
      <c r="H71" s="203"/>
      <c r="I71" s="50"/>
      <c r="J71" s="209"/>
      <c r="K71" s="6">
        <f>E71</f>
        <v>1238.0420899999999</v>
      </c>
    </row>
    <row r="72" spans="1:15" ht="33" customHeight="1" x14ac:dyDescent="0.25">
      <c r="A72" s="220"/>
      <c r="B72" s="50" t="s">
        <v>69</v>
      </c>
      <c r="C72" s="50" t="s">
        <v>65</v>
      </c>
      <c r="D72" s="14">
        <v>555.48947999999996</v>
      </c>
      <c r="E72" s="14">
        <v>512.75951999999995</v>
      </c>
      <c r="F72" s="50" t="s">
        <v>271</v>
      </c>
      <c r="G72" s="14">
        <f t="shared" si="5"/>
        <v>512.75951999999995</v>
      </c>
      <c r="H72" s="203"/>
      <c r="I72" s="50"/>
      <c r="J72" s="209"/>
      <c r="L72" s="6">
        <f>G72</f>
        <v>512.75951999999995</v>
      </c>
    </row>
    <row r="73" spans="1:15" ht="42.75" customHeight="1" x14ac:dyDescent="0.25">
      <c r="A73" s="220"/>
      <c r="B73" s="236" t="s">
        <v>135</v>
      </c>
      <c r="C73" s="236" t="s">
        <v>134</v>
      </c>
      <c r="D73" s="239">
        <v>584.05349999999999</v>
      </c>
      <c r="E73" s="14">
        <v>294.11799999999999</v>
      </c>
      <c r="F73" s="50" t="s">
        <v>272</v>
      </c>
      <c r="G73" s="14">
        <f>E73</f>
        <v>294.11799999999999</v>
      </c>
      <c r="H73" s="203"/>
      <c r="I73" s="50"/>
      <c r="J73" s="209"/>
      <c r="L73" s="8"/>
    </row>
    <row r="74" spans="1:15" ht="33" customHeight="1" x14ac:dyDescent="0.25">
      <c r="A74" s="220"/>
      <c r="B74" s="237"/>
      <c r="C74" s="237"/>
      <c r="D74" s="240"/>
      <c r="E74" s="14">
        <f>G74</f>
        <v>16.928000000000001</v>
      </c>
      <c r="F74" s="50" t="s">
        <v>330</v>
      </c>
      <c r="G74" s="14">
        <f>1412.5/1000+15515.5/1000</f>
        <v>16.928000000000001</v>
      </c>
      <c r="H74" s="197"/>
      <c r="I74" s="50"/>
      <c r="J74" s="209"/>
      <c r="L74" s="8"/>
      <c r="N74" s="6"/>
    </row>
    <row r="75" spans="1:15" ht="33" customHeight="1" x14ac:dyDescent="0.25">
      <c r="A75" s="220"/>
      <c r="B75" s="237"/>
      <c r="C75" s="237"/>
      <c r="D75" s="240"/>
      <c r="E75" s="14">
        <v>29.158200000000001</v>
      </c>
      <c r="F75" s="50" t="s">
        <v>343</v>
      </c>
      <c r="G75" s="14">
        <v>29.158200000000001</v>
      </c>
      <c r="H75" s="197"/>
      <c r="I75" s="50"/>
      <c r="J75" s="209"/>
      <c r="L75" s="8"/>
      <c r="N75" s="6"/>
    </row>
    <row r="76" spans="1:15" ht="33" customHeight="1" x14ac:dyDescent="0.25">
      <c r="A76" s="220"/>
      <c r="B76" s="237"/>
      <c r="C76" s="237"/>
      <c r="D76" s="240"/>
      <c r="E76" s="14">
        <f>G76</f>
        <v>240.81200000000001</v>
      </c>
      <c r="F76" s="50" t="s">
        <v>449</v>
      </c>
      <c r="G76" s="14">
        <f>240812/1000</f>
        <v>240.81200000000001</v>
      </c>
      <c r="H76" s="197"/>
      <c r="I76" s="50"/>
      <c r="J76" s="209"/>
      <c r="L76" s="8"/>
      <c r="N76" s="6"/>
    </row>
    <row r="77" spans="1:15" ht="33" customHeight="1" x14ac:dyDescent="0.25">
      <c r="A77" s="220"/>
      <c r="B77" s="237"/>
      <c r="C77" s="237"/>
      <c r="D77" s="240"/>
      <c r="E77" s="16">
        <f>G77</f>
        <v>3.9874999999999998</v>
      </c>
      <c r="F77" s="51" t="s">
        <v>450</v>
      </c>
      <c r="G77" s="16">
        <f>3987.5/1000</f>
        <v>3.9874999999999998</v>
      </c>
      <c r="H77" s="197"/>
      <c r="I77" s="51"/>
      <c r="J77" s="206"/>
      <c r="L77" s="8"/>
      <c r="N77" s="6"/>
    </row>
    <row r="78" spans="1:15" ht="32.25" customHeight="1" x14ac:dyDescent="0.25">
      <c r="A78" s="220"/>
      <c r="B78" s="236" t="s">
        <v>66</v>
      </c>
      <c r="C78" s="236" t="s">
        <v>173</v>
      </c>
      <c r="D78" s="239">
        <f>12567790.39/1000</f>
        <v>12567.79039</v>
      </c>
      <c r="E78" s="14">
        <f>G78</f>
        <v>637.56343000000004</v>
      </c>
      <c r="F78" s="50" t="s">
        <v>355</v>
      </c>
      <c r="G78" s="14">
        <f>637563.43/1000</f>
        <v>637.56343000000004</v>
      </c>
      <c r="H78" s="224">
        <f>SUM(J78:J83)</f>
        <v>4670.3769644000004</v>
      </c>
      <c r="I78" s="50" t="s">
        <v>164</v>
      </c>
      <c r="J78" s="209">
        <f>2098467.77*1.18/1000</f>
        <v>2476.1919685999997</v>
      </c>
      <c r="L78" s="8"/>
      <c r="O78" s="6">
        <f>G76+G77+G80+G123+G124+G136+G137</f>
        <v>1033.4885900000002</v>
      </c>
    </row>
    <row r="79" spans="1:15" ht="36.75" customHeight="1" x14ac:dyDescent="0.25">
      <c r="A79" s="220"/>
      <c r="B79" s="237"/>
      <c r="C79" s="237"/>
      <c r="D79" s="240"/>
      <c r="E79" s="14">
        <f>G79</f>
        <v>318.57059000000004</v>
      </c>
      <c r="F79" s="50" t="s">
        <v>356</v>
      </c>
      <c r="G79" s="14">
        <f>318570.59/1000</f>
        <v>318.57059000000004</v>
      </c>
      <c r="H79" s="224"/>
      <c r="I79" s="50" t="s">
        <v>377</v>
      </c>
      <c r="J79" s="209">
        <f>(44995.85*6*1.18)/1000</f>
        <v>318.57061799999997</v>
      </c>
      <c r="L79" s="8"/>
    </row>
    <row r="80" spans="1:15" ht="28.5" x14ac:dyDescent="0.25">
      <c r="A80" s="220"/>
      <c r="B80" s="237"/>
      <c r="C80" s="237"/>
      <c r="D80" s="240"/>
      <c r="E80" s="14">
        <f>G80</f>
        <v>641.05911000000003</v>
      </c>
      <c r="F80" s="50" t="s">
        <v>452</v>
      </c>
      <c r="G80" s="14">
        <f>641059.11/1000</f>
        <v>641.05911000000003</v>
      </c>
      <c r="H80" s="224"/>
      <c r="I80" s="50" t="s">
        <v>378</v>
      </c>
      <c r="J80" s="209">
        <f>540307.99*1.18/1000</f>
        <v>637.56342819999998</v>
      </c>
      <c r="L80" s="8"/>
    </row>
    <row r="81" spans="1:12" ht="28.5" x14ac:dyDescent="0.25">
      <c r="A81" s="220"/>
      <c r="B81" s="237"/>
      <c r="C81" s="237"/>
      <c r="D81" s="240"/>
      <c r="E81" s="14">
        <f>+G81</f>
        <v>220.80497</v>
      </c>
      <c r="F81" s="50" t="s">
        <v>488</v>
      </c>
      <c r="G81" s="14">
        <f>220804.97/1000</f>
        <v>220.80497</v>
      </c>
      <c r="H81" s="224"/>
      <c r="I81" s="50" t="s">
        <v>324</v>
      </c>
      <c r="J81" s="209">
        <f>543270.43*1.18/1000</f>
        <v>641.05910740000002</v>
      </c>
      <c r="L81" s="8"/>
    </row>
    <row r="82" spans="1:12" ht="28.5" x14ac:dyDescent="0.25">
      <c r="A82" s="220"/>
      <c r="B82" s="237"/>
      <c r="C82" s="237"/>
      <c r="D82" s="240"/>
      <c r="E82" s="14">
        <f>+G82</f>
        <v>376.18687</v>
      </c>
      <c r="F82" s="50" t="s">
        <v>489</v>
      </c>
      <c r="G82" s="14">
        <f>376186.87/1000</f>
        <v>376.18687</v>
      </c>
      <c r="H82" s="224"/>
      <c r="I82" s="50" t="s">
        <v>379</v>
      </c>
      <c r="J82" s="209">
        <f>376186.8674/1000</f>
        <v>376.18686739999998</v>
      </c>
      <c r="L82" s="8"/>
    </row>
    <row r="83" spans="1:12" ht="28.5" x14ac:dyDescent="0.25">
      <c r="A83" s="220"/>
      <c r="B83" s="237"/>
      <c r="C83" s="237"/>
      <c r="D83" s="240"/>
      <c r="E83" s="14"/>
      <c r="F83" s="50"/>
      <c r="G83" s="14"/>
      <c r="H83" s="224"/>
      <c r="I83" s="50" t="s">
        <v>380</v>
      </c>
      <c r="J83" s="209">
        <f>220804.9748/1000</f>
        <v>220.8049748</v>
      </c>
      <c r="L83" s="8"/>
    </row>
    <row r="84" spans="1:12" ht="36" customHeight="1" x14ac:dyDescent="0.25">
      <c r="A84" s="220"/>
      <c r="B84" s="237"/>
      <c r="C84" s="237"/>
      <c r="D84" s="240"/>
      <c r="E84" s="14"/>
      <c r="F84" s="50"/>
      <c r="G84" s="14"/>
      <c r="H84" s="203">
        <f>+J84</f>
        <v>480.283187</v>
      </c>
      <c r="I84" s="178" t="s">
        <v>639</v>
      </c>
      <c r="J84" s="209">
        <f>407019.65*1.18/1000</f>
        <v>480.283187</v>
      </c>
      <c r="L84" s="8"/>
    </row>
    <row r="85" spans="1:12" ht="28.5" x14ac:dyDescent="0.25">
      <c r="A85" s="220"/>
      <c r="B85" s="237"/>
      <c r="C85" s="237"/>
      <c r="D85" s="240"/>
      <c r="E85" s="14"/>
      <c r="F85" s="50"/>
      <c r="G85" s="14"/>
      <c r="H85" s="203">
        <f>+J85</f>
        <v>444.19304039999997</v>
      </c>
      <c r="I85" s="178" t="s">
        <v>584</v>
      </c>
      <c r="J85" s="209">
        <f>376434.78*1.18/1000</f>
        <v>444.19304039999997</v>
      </c>
      <c r="L85" s="8"/>
    </row>
    <row r="86" spans="1:12" ht="28.5" x14ac:dyDescent="0.25">
      <c r="A86" s="220"/>
      <c r="B86" s="237"/>
      <c r="C86" s="237"/>
      <c r="D86" s="240"/>
      <c r="E86" s="14"/>
      <c r="F86" s="50"/>
      <c r="G86" s="14"/>
      <c r="H86" s="203">
        <f t="shared" ref="H86:H98" si="9">+J86</f>
        <v>472.40233279999995</v>
      </c>
      <c r="I86" s="178" t="s">
        <v>572</v>
      </c>
      <c r="J86" s="209">
        <f>400340.96*1.18/1000</f>
        <v>472.40233279999995</v>
      </c>
      <c r="L86" s="8"/>
    </row>
    <row r="87" spans="1:12" ht="28.5" x14ac:dyDescent="0.25">
      <c r="A87" s="220"/>
      <c r="B87" s="237"/>
      <c r="C87" s="237"/>
      <c r="D87" s="240"/>
      <c r="E87" s="14"/>
      <c r="F87" s="50"/>
      <c r="G87" s="14"/>
      <c r="H87" s="203">
        <f t="shared" si="9"/>
        <v>91.512976599999988</v>
      </c>
      <c r="I87" s="178" t="s">
        <v>621</v>
      </c>
      <c r="J87" s="209">
        <f>77553.37*1.18/1000</f>
        <v>91.512976599999988</v>
      </c>
      <c r="L87" s="8"/>
    </row>
    <row r="88" spans="1:12" ht="28.5" x14ac:dyDescent="0.25">
      <c r="A88" s="220"/>
      <c r="B88" s="237"/>
      <c r="C88" s="237"/>
      <c r="D88" s="240"/>
      <c r="E88" s="14"/>
      <c r="F88" s="50"/>
      <c r="G88" s="14"/>
      <c r="H88" s="203">
        <f t="shared" si="9"/>
        <v>1793.2110012000001</v>
      </c>
      <c r="I88" s="178" t="s">
        <v>616</v>
      </c>
      <c r="J88" s="209">
        <f>1519670.34*1.18/1000</f>
        <v>1793.2110012000001</v>
      </c>
      <c r="L88" s="8"/>
    </row>
    <row r="89" spans="1:12" ht="28.5" x14ac:dyDescent="0.25">
      <c r="A89" s="220"/>
      <c r="B89" s="237"/>
      <c r="C89" s="237"/>
      <c r="D89" s="240"/>
      <c r="E89" s="14"/>
      <c r="F89" s="50"/>
      <c r="G89" s="14"/>
      <c r="H89" s="203">
        <f t="shared" si="9"/>
        <v>151.5377948</v>
      </c>
      <c r="I89" s="178" t="s">
        <v>620</v>
      </c>
      <c r="J89" s="209">
        <f>128421.86*1.18/1000</f>
        <v>151.5377948</v>
      </c>
      <c r="L89" s="8"/>
    </row>
    <row r="90" spans="1:12" ht="28.5" x14ac:dyDescent="0.25">
      <c r="A90" s="220"/>
      <c r="B90" s="237"/>
      <c r="C90" s="237"/>
      <c r="D90" s="240"/>
      <c r="E90" s="14"/>
      <c r="F90" s="50"/>
      <c r="G90" s="14"/>
      <c r="H90" s="203">
        <f t="shared" si="9"/>
        <v>906.51493999999991</v>
      </c>
      <c r="I90" s="178" t="s">
        <v>618</v>
      </c>
      <c r="J90" s="209">
        <f>768233*1.18/1000</f>
        <v>906.51493999999991</v>
      </c>
      <c r="L90" s="8"/>
    </row>
    <row r="91" spans="1:12" ht="28.5" x14ac:dyDescent="0.25">
      <c r="A91" s="220"/>
      <c r="B91" s="237"/>
      <c r="C91" s="237"/>
      <c r="D91" s="240"/>
      <c r="E91" s="14"/>
      <c r="F91" s="50"/>
      <c r="G91" s="14"/>
      <c r="H91" s="203">
        <f t="shared" si="9"/>
        <v>142.36165459999998</v>
      </c>
      <c r="I91" s="178" t="s">
        <v>619</v>
      </c>
      <c r="J91" s="209">
        <f>120645.47*1.18/1000</f>
        <v>142.36165459999998</v>
      </c>
      <c r="L91" s="8"/>
    </row>
    <row r="92" spans="1:12" ht="28.5" x14ac:dyDescent="0.25">
      <c r="A92" s="220"/>
      <c r="B92" s="237"/>
      <c r="C92" s="237"/>
      <c r="D92" s="240"/>
      <c r="E92" s="14"/>
      <c r="F92" s="50"/>
      <c r="G92" s="14"/>
      <c r="H92" s="203">
        <f t="shared" si="9"/>
        <v>201.91757619999998</v>
      </c>
      <c r="I92" s="178" t="s">
        <v>613</v>
      </c>
      <c r="J92" s="209">
        <f>171116.59*1.18/1000</f>
        <v>201.91757619999998</v>
      </c>
      <c r="L92" s="8"/>
    </row>
    <row r="93" spans="1:12" ht="28.5" x14ac:dyDescent="0.25">
      <c r="A93" s="220"/>
      <c r="B93" s="237"/>
      <c r="C93" s="237"/>
      <c r="D93" s="240"/>
      <c r="E93" s="14"/>
      <c r="F93" s="50"/>
      <c r="G93" s="14"/>
      <c r="H93" s="203">
        <f t="shared" si="9"/>
        <v>263.01622979999996</v>
      </c>
      <c r="I93" s="178" t="s">
        <v>617</v>
      </c>
      <c r="J93" s="209">
        <f>222895.11*1.18/1000</f>
        <v>263.01622979999996</v>
      </c>
      <c r="L93" s="8"/>
    </row>
    <row r="94" spans="1:12" ht="28.5" x14ac:dyDescent="0.25">
      <c r="A94" s="220"/>
      <c r="B94" s="237"/>
      <c r="C94" s="237"/>
      <c r="D94" s="240"/>
      <c r="E94" s="14"/>
      <c r="F94" s="50"/>
      <c r="G94" s="14"/>
      <c r="H94" s="203">
        <f t="shared" si="9"/>
        <v>120.87242679999999</v>
      </c>
      <c r="I94" s="178" t="s">
        <v>614</v>
      </c>
      <c r="J94" s="209">
        <f>102434.26*1.18/1000</f>
        <v>120.87242679999999</v>
      </c>
      <c r="L94" s="8"/>
    </row>
    <row r="95" spans="1:12" ht="28.5" x14ac:dyDescent="0.25">
      <c r="A95" s="220"/>
      <c r="B95" s="237"/>
      <c r="C95" s="237"/>
      <c r="D95" s="240"/>
      <c r="E95" s="14"/>
      <c r="F95" s="50"/>
      <c r="G95" s="14"/>
      <c r="H95" s="203">
        <f t="shared" si="9"/>
        <v>247.29527859999996</v>
      </c>
      <c r="I95" s="178" t="s">
        <v>615</v>
      </c>
      <c r="J95" s="209">
        <f>209572.27*1.18/1000</f>
        <v>247.29527859999996</v>
      </c>
      <c r="L95" s="8"/>
    </row>
    <row r="96" spans="1:12" ht="42.75" x14ac:dyDescent="0.25">
      <c r="A96" s="220"/>
      <c r="B96" s="237"/>
      <c r="C96" s="237"/>
      <c r="D96" s="240"/>
      <c r="E96" s="14"/>
      <c r="F96" s="50"/>
      <c r="G96" s="14"/>
      <c r="H96" s="203">
        <f t="shared" si="9"/>
        <v>2499.6417191999999</v>
      </c>
      <c r="I96" s="178" t="s">
        <v>611</v>
      </c>
      <c r="J96" s="209">
        <f>2118340.44*1.18/1000</f>
        <v>2499.6417191999999</v>
      </c>
      <c r="L96" s="8"/>
    </row>
    <row r="97" spans="1:15" ht="28.5" x14ac:dyDescent="0.25">
      <c r="A97" s="220"/>
      <c r="B97" s="237"/>
      <c r="C97" s="237"/>
      <c r="D97" s="240"/>
      <c r="E97" s="14"/>
      <c r="F97" s="50"/>
      <c r="G97" s="14"/>
      <c r="H97" s="197">
        <f t="shared" si="9"/>
        <v>875.56795320000003</v>
      </c>
      <c r="I97" s="178" t="s">
        <v>612</v>
      </c>
      <c r="J97" s="194">
        <f>742006.74*1.18/1000</f>
        <v>875.56795320000003</v>
      </c>
      <c r="L97" s="8"/>
    </row>
    <row r="98" spans="1:15" ht="43.5" customHeight="1" x14ac:dyDescent="0.25">
      <c r="A98" s="220"/>
      <c r="B98" s="238"/>
      <c r="C98" s="237"/>
      <c r="D98" s="240"/>
      <c r="E98" s="14"/>
      <c r="F98" s="50"/>
      <c r="G98" s="14"/>
      <c r="H98" s="84">
        <f t="shared" si="9"/>
        <v>-480.283187</v>
      </c>
      <c r="I98" s="83" t="s">
        <v>556</v>
      </c>
      <c r="J98" s="84">
        <f>-407019.65*1.18/1000</f>
        <v>-480.283187</v>
      </c>
      <c r="L98" s="8"/>
    </row>
    <row r="99" spans="1:15" ht="42.75" x14ac:dyDescent="0.25">
      <c r="A99" s="220"/>
      <c r="B99" s="236" t="s">
        <v>66</v>
      </c>
      <c r="C99" s="236" t="s">
        <v>172</v>
      </c>
      <c r="D99" s="239">
        <v>24657.366180000001</v>
      </c>
      <c r="E99" s="14">
        <f t="shared" ref="E99:E105" si="10">G99</f>
        <v>2876.69272</v>
      </c>
      <c r="F99" s="50" t="s">
        <v>254</v>
      </c>
      <c r="G99" s="14">
        <f>2876692.72/1000</f>
        <v>2876.69272</v>
      </c>
      <c r="H99" s="239">
        <f>J99+J100+J101+J102+J103+J104</f>
        <v>24657.366187199998</v>
      </c>
      <c r="I99" s="50" t="s">
        <v>185</v>
      </c>
      <c r="J99" s="209">
        <f t="shared" ref="J99:J104" si="11">3482678.84*1.18/1000</f>
        <v>4109.5610311999999</v>
      </c>
      <c r="L99" s="8"/>
      <c r="O99" s="6"/>
    </row>
    <row r="100" spans="1:15" ht="43.5" customHeight="1" x14ac:dyDescent="0.25">
      <c r="A100" s="220"/>
      <c r="B100" s="237"/>
      <c r="C100" s="237"/>
      <c r="D100" s="240"/>
      <c r="E100" s="14">
        <f t="shared" si="10"/>
        <v>2876.69272</v>
      </c>
      <c r="F100" s="50" t="s">
        <v>255</v>
      </c>
      <c r="G100" s="14">
        <f>2876692.72/1000</f>
        <v>2876.69272</v>
      </c>
      <c r="H100" s="240"/>
      <c r="I100" s="50" t="s">
        <v>186</v>
      </c>
      <c r="J100" s="209">
        <f t="shared" si="11"/>
        <v>4109.5610311999999</v>
      </c>
      <c r="L100" s="8"/>
    </row>
    <row r="101" spans="1:15" ht="42.75" x14ac:dyDescent="0.25">
      <c r="A101" s="220"/>
      <c r="B101" s="237"/>
      <c r="C101" s="237"/>
      <c r="D101" s="240"/>
      <c r="E101" s="14">
        <f t="shared" si="10"/>
        <v>2876.69272</v>
      </c>
      <c r="F101" s="50" t="s">
        <v>256</v>
      </c>
      <c r="G101" s="14">
        <f>2876692.72/1000</f>
        <v>2876.69272</v>
      </c>
      <c r="H101" s="240"/>
      <c r="I101" s="50" t="s">
        <v>187</v>
      </c>
      <c r="J101" s="209">
        <f t="shared" si="11"/>
        <v>4109.5610311999999</v>
      </c>
      <c r="L101" s="8"/>
    </row>
    <row r="102" spans="1:15" ht="42.75" x14ac:dyDescent="0.25">
      <c r="A102" s="220"/>
      <c r="B102" s="237"/>
      <c r="C102" s="237"/>
      <c r="D102" s="240"/>
      <c r="E102" s="14">
        <f t="shared" si="10"/>
        <v>2476.1919700000003</v>
      </c>
      <c r="F102" s="50" t="s">
        <v>257</v>
      </c>
      <c r="G102" s="14">
        <f>2476191.97/1000</f>
        <v>2476.1919700000003</v>
      </c>
      <c r="H102" s="240"/>
      <c r="I102" s="50" t="s">
        <v>381</v>
      </c>
      <c r="J102" s="209">
        <f t="shared" si="11"/>
        <v>4109.5610311999999</v>
      </c>
      <c r="L102" s="8"/>
    </row>
    <row r="103" spans="1:15" ht="40.5" customHeight="1" x14ac:dyDescent="0.25">
      <c r="A103" s="220"/>
      <c r="B103" s="237"/>
      <c r="C103" s="237"/>
      <c r="D103" s="240"/>
      <c r="E103" s="14">
        <f t="shared" si="10"/>
        <v>2876.69272</v>
      </c>
      <c r="F103" s="50" t="s">
        <v>328</v>
      </c>
      <c r="G103" s="14">
        <f>2876692.72/1000</f>
        <v>2876.69272</v>
      </c>
      <c r="H103" s="240"/>
      <c r="I103" s="50" t="s">
        <v>382</v>
      </c>
      <c r="J103" s="209">
        <f t="shared" si="11"/>
        <v>4109.5610311999999</v>
      </c>
      <c r="L103" s="8"/>
    </row>
    <row r="104" spans="1:15" ht="41.25" customHeight="1" x14ac:dyDescent="0.25">
      <c r="A104" s="220"/>
      <c r="B104" s="237"/>
      <c r="C104" s="237"/>
      <c r="D104" s="240"/>
      <c r="E104" s="14">
        <f t="shared" si="10"/>
        <v>2876.69272</v>
      </c>
      <c r="F104" s="50" t="s">
        <v>329</v>
      </c>
      <c r="G104" s="14">
        <f>2876692.72/1000</f>
        <v>2876.69272</v>
      </c>
      <c r="H104" s="241"/>
      <c r="I104" s="50" t="s">
        <v>383</v>
      </c>
      <c r="J104" s="209">
        <f t="shared" si="11"/>
        <v>4109.5610311999999</v>
      </c>
      <c r="L104" s="8"/>
    </row>
    <row r="105" spans="1:15" ht="35.25" customHeight="1" x14ac:dyDescent="0.25">
      <c r="A105" s="220" t="s">
        <v>52</v>
      </c>
      <c r="B105" s="237"/>
      <c r="C105" s="237"/>
      <c r="D105" s="240"/>
      <c r="E105" s="14">
        <f t="shared" si="10"/>
        <v>2876.69272</v>
      </c>
      <c r="F105" s="50" t="s">
        <v>331</v>
      </c>
      <c r="G105" s="14">
        <f>2876692.72/1000</f>
        <v>2876.69272</v>
      </c>
      <c r="H105" s="203">
        <f>J105</f>
        <v>0</v>
      </c>
      <c r="I105" s="50" t="s">
        <v>384</v>
      </c>
      <c r="J105" s="89"/>
      <c r="L105" s="8"/>
      <c r="O105" s="6"/>
    </row>
    <row r="106" spans="1:15" ht="49.5" customHeight="1" x14ac:dyDescent="0.25">
      <c r="A106" s="220"/>
      <c r="B106" s="236" t="s">
        <v>48</v>
      </c>
      <c r="C106" s="236" t="s">
        <v>49</v>
      </c>
      <c r="D106" s="239"/>
      <c r="E106" s="14">
        <f>G106</f>
        <v>518.05073899999991</v>
      </c>
      <c r="F106" s="50" t="s">
        <v>273</v>
      </c>
      <c r="G106" s="14">
        <f>439026.05*1.18/1000</f>
        <v>518.05073899999991</v>
      </c>
      <c r="H106" s="239">
        <f>+J106+J107+J108+J109+J110+J111+J112+J113+J114+J115+J116</f>
        <v>1187.3708463999997</v>
      </c>
      <c r="I106" s="50" t="s">
        <v>385</v>
      </c>
      <c r="J106" s="209">
        <f>157417.08*1.18/1000</f>
        <v>185.75215439999997</v>
      </c>
      <c r="L106" s="8"/>
    </row>
    <row r="107" spans="1:15" ht="48.75" customHeight="1" x14ac:dyDescent="0.25">
      <c r="A107" s="220"/>
      <c r="B107" s="237"/>
      <c r="C107" s="237"/>
      <c r="D107" s="240"/>
      <c r="E107" s="14">
        <f>G107</f>
        <v>2374.1439756</v>
      </c>
      <c r="F107" s="50"/>
      <c r="G107" s="14">
        <f>2011986.42*1.18/1000</f>
        <v>2374.1439756</v>
      </c>
      <c r="H107" s="240"/>
      <c r="I107" s="50" t="s">
        <v>385</v>
      </c>
      <c r="J107" s="209">
        <f t="shared" ref="J107:J108" si="12">157417.08*1.18/1000</f>
        <v>185.75215439999997</v>
      </c>
    </row>
    <row r="108" spans="1:15" ht="28.5" x14ac:dyDescent="0.25">
      <c r="A108" s="220"/>
      <c r="B108" s="237"/>
      <c r="C108" s="237"/>
      <c r="D108" s="240"/>
      <c r="E108" s="239">
        <f>G108+G109+G110+G111+G112+G113</f>
        <v>1646.9702263999998</v>
      </c>
      <c r="F108" s="50"/>
      <c r="G108" s="14">
        <f>472251.24*1.18/1000</f>
        <v>557.25646319999998</v>
      </c>
      <c r="H108" s="240"/>
      <c r="I108" s="50" t="s">
        <v>385</v>
      </c>
      <c r="J108" s="209">
        <f t="shared" si="12"/>
        <v>185.75215439999997</v>
      </c>
    </row>
    <row r="109" spans="1:15" ht="28.5" x14ac:dyDescent="0.25">
      <c r="A109" s="220"/>
      <c r="B109" s="237"/>
      <c r="C109" s="237"/>
      <c r="D109" s="240"/>
      <c r="E109" s="240"/>
      <c r="F109" s="50"/>
      <c r="G109" s="14">
        <f>395351.48*1.18/1000</f>
        <v>466.51474639999992</v>
      </c>
      <c r="H109" s="240"/>
      <c r="I109" s="50" t="s">
        <v>386</v>
      </c>
      <c r="J109" s="209">
        <f>157417.08*1.18/1000</f>
        <v>185.75215439999997</v>
      </c>
      <c r="O109" s="6"/>
    </row>
    <row r="110" spans="1:15" ht="28.5" x14ac:dyDescent="0.25">
      <c r="A110" s="220"/>
      <c r="B110" s="237"/>
      <c r="C110" s="237"/>
      <c r="D110" s="240"/>
      <c r="E110" s="240"/>
      <c r="F110" s="50"/>
      <c r="G110" s="14">
        <f>472251.24*1.18/1000</f>
        <v>557.25646319999998</v>
      </c>
      <c r="H110" s="240"/>
      <c r="I110" s="50" t="s">
        <v>386</v>
      </c>
      <c r="J110" s="209">
        <f>157417.08*1.18/1000</f>
        <v>185.75215439999997</v>
      </c>
    </row>
    <row r="111" spans="1:15" ht="28.5" x14ac:dyDescent="0.25">
      <c r="A111" s="220"/>
      <c r="B111" s="237"/>
      <c r="C111" s="237"/>
      <c r="D111" s="240"/>
      <c r="E111" s="240"/>
      <c r="F111" s="50"/>
      <c r="G111" s="14">
        <f>32736.08*1.18/1000</f>
        <v>38.628574399999998</v>
      </c>
      <c r="H111" s="240"/>
      <c r="I111" s="50" t="s">
        <v>386</v>
      </c>
      <c r="J111" s="209">
        <f>157417.08*1.18/1000</f>
        <v>185.75215439999997</v>
      </c>
    </row>
    <row r="112" spans="1:15" ht="28.5" x14ac:dyDescent="0.25">
      <c r="A112" s="220"/>
      <c r="B112" s="237"/>
      <c r="C112" s="237"/>
      <c r="D112" s="240"/>
      <c r="E112" s="240"/>
      <c r="F112" s="50"/>
      <c r="G112" s="14">
        <f>10506.99*1.18/1000</f>
        <v>12.398248199999999</v>
      </c>
      <c r="H112" s="240"/>
      <c r="I112" s="51" t="s">
        <v>387</v>
      </c>
      <c r="J112" s="209">
        <f>32736.08*1.18/1000</f>
        <v>38.628574399999998</v>
      </c>
    </row>
    <row r="113" spans="1:10" ht="28.5" x14ac:dyDescent="0.25">
      <c r="A113" s="220"/>
      <c r="B113" s="237"/>
      <c r="C113" s="237"/>
      <c r="D113" s="240"/>
      <c r="E113" s="241"/>
      <c r="F113" s="51"/>
      <c r="G113" s="16">
        <f>12640.45*1.18/1000</f>
        <v>14.915730999999999</v>
      </c>
      <c r="H113" s="240"/>
      <c r="I113" s="51" t="s">
        <v>387</v>
      </c>
      <c r="J113" s="209">
        <f>4211.64*1.18/1000</f>
        <v>4.9697351999999997</v>
      </c>
    </row>
    <row r="114" spans="1:10" ht="28.5" x14ac:dyDescent="0.25">
      <c r="A114" s="220"/>
      <c r="B114" s="237"/>
      <c r="C114" s="237"/>
      <c r="D114" s="240"/>
      <c r="E114" s="16"/>
      <c r="F114" s="51"/>
      <c r="G114" s="16"/>
      <c r="H114" s="240"/>
      <c r="I114" s="51" t="s">
        <v>387</v>
      </c>
      <c r="J114" s="209">
        <f>8428.81*1.18/1000</f>
        <v>9.9459957999999986</v>
      </c>
    </row>
    <row r="115" spans="1:10" ht="28.5" x14ac:dyDescent="0.25">
      <c r="A115" s="220"/>
      <c r="B115" s="237"/>
      <c r="C115" s="237"/>
      <c r="D115" s="240"/>
      <c r="E115" s="16"/>
      <c r="F115" s="51"/>
      <c r="G115" s="16"/>
      <c r="H115" s="240"/>
      <c r="I115" s="51" t="s">
        <v>372</v>
      </c>
      <c r="J115" s="209">
        <f>8475.03*1.18/1000</f>
        <v>10.0005354</v>
      </c>
    </row>
    <row r="116" spans="1:10" ht="28.5" x14ac:dyDescent="0.25">
      <c r="A116" s="220"/>
      <c r="B116" s="237"/>
      <c r="C116" s="237"/>
      <c r="D116" s="240"/>
      <c r="E116" s="16"/>
      <c r="F116" s="51"/>
      <c r="G116" s="16"/>
      <c r="H116" s="241"/>
      <c r="I116" s="51" t="s">
        <v>373</v>
      </c>
      <c r="J116" s="209">
        <f>7892.44*1.18/1000</f>
        <v>9.3130791999999989</v>
      </c>
    </row>
    <row r="117" spans="1:10" ht="28.5" x14ac:dyDescent="0.25">
      <c r="A117" s="220"/>
      <c r="B117" s="237"/>
      <c r="C117" s="237"/>
      <c r="D117" s="240"/>
      <c r="E117" s="16"/>
      <c r="F117" s="51"/>
      <c r="G117" s="16"/>
      <c r="H117" s="199">
        <f>+J117</f>
        <v>7.4924217999999998</v>
      </c>
      <c r="I117" s="172" t="s">
        <v>631</v>
      </c>
      <c r="J117" s="206">
        <f>6349.51*1.18/1000</f>
        <v>7.4924217999999998</v>
      </c>
    </row>
    <row r="118" spans="1:10" ht="36" customHeight="1" x14ac:dyDescent="0.25">
      <c r="A118" s="220"/>
      <c r="B118" s="237"/>
      <c r="C118" s="237"/>
      <c r="D118" s="240"/>
      <c r="E118" s="16"/>
      <c r="F118" s="51"/>
      <c r="G118" s="16"/>
      <c r="H118" s="199">
        <f>+J118</f>
        <v>6.9294083999999989</v>
      </c>
      <c r="I118" s="172" t="s">
        <v>636</v>
      </c>
      <c r="J118" s="206">
        <f>5872.38*1.18/1000</f>
        <v>6.9294083999999989</v>
      </c>
    </row>
    <row r="119" spans="1:10" x14ac:dyDescent="0.25">
      <c r="A119" s="220"/>
      <c r="B119" s="237"/>
      <c r="C119" s="237"/>
      <c r="D119" s="240"/>
      <c r="E119" s="16"/>
      <c r="F119" s="51"/>
      <c r="G119" s="16"/>
      <c r="H119" s="203">
        <f>+J119</f>
        <v>6.7983575999999992</v>
      </c>
      <c r="I119" s="185" t="s">
        <v>643</v>
      </c>
      <c r="J119" s="206">
        <f>5761.32*1.18/1000</f>
        <v>6.7983575999999992</v>
      </c>
    </row>
    <row r="120" spans="1:10" x14ac:dyDescent="0.25">
      <c r="A120" s="220"/>
      <c r="B120" s="237"/>
      <c r="C120" s="237"/>
      <c r="D120" s="240"/>
      <c r="E120" s="16"/>
      <c r="F120" s="51"/>
      <c r="G120" s="16"/>
      <c r="H120" s="203">
        <f>+J120</f>
        <v>106.97944899999999</v>
      </c>
      <c r="I120" s="185" t="s">
        <v>644</v>
      </c>
      <c r="J120" s="206">
        <f>90660.55*1.18/1000</f>
        <v>106.97944899999999</v>
      </c>
    </row>
    <row r="121" spans="1:10" ht="28.5" x14ac:dyDescent="0.25">
      <c r="A121" s="220"/>
      <c r="B121" s="238"/>
      <c r="C121" s="238"/>
      <c r="D121" s="241"/>
      <c r="E121" s="16">
        <f>+G121</f>
        <v>278.89047479999999</v>
      </c>
      <c r="F121" s="50" t="s">
        <v>552</v>
      </c>
      <c r="G121" s="16">
        <f>236347.86*1.18/1000</f>
        <v>278.89047479999999</v>
      </c>
      <c r="H121" s="203"/>
      <c r="I121" s="51"/>
      <c r="J121" s="206"/>
    </row>
    <row r="122" spans="1:10" ht="28.5" x14ac:dyDescent="0.25">
      <c r="A122" s="220"/>
      <c r="B122" s="236" t="s">
        <v>221</v>
      </c>
      <c r="C122" s="236" t="s">
        <v>203</v>
      </c>
      <c r="D122" s="14">
        <f>2324166.84/1000</f>
        <v>2324.1668399999999</v>
      </c>
      <c r="E122" s="16">
        <f t="shared" ref="E122:E132" si="13">G122</f>
        <v>697.21107999999992</v>
      </c>
      <c r="F122" s="51" t="s">
        <v>212</v>
      </c>
      <c r="G122" s="16">
        <f>697211.08/1000</f>
        <v>697.21107999999992</v>
      </c>
      <c r="H122" s="197"/>
      <c r="I122" s="51"/>
      <c r="J122" s="206"/>
    </row>
    <row r="123" spans="1:10" ht="28.5" x14ac:dyDescent="0.25">
      <c r="A123" s="220"/>
      <c r="B123" s="237"/>
      <c r="C123" s="237"/>
      <c r="D123" s="16"/>
      <c r="E123" s="14">
        <f>G123</f>
        <v>27.6</v>
      </c>
      <c r="F123" s="50" t="s">
        <v>448</v>
      </c>
      <c r="G123" s="14">
        <v>27.6</v>
      </c>
      <c r="H123" s="197"/>
      <c r="I123" s="51"/>
      <c r="J123" s="206"/>
    </row>
    <row r="124" spans="1:10" ht="28.5" x14ac:dyDescent="0.25">
      <c r="A124" s="220"/>
      <c r="B124" s="237"/>
      <c r="C124" s="237"/>
      <c r="D124" s="16"/>
      <c r="E124" s="14">
        <f>G124</f>
        <v>31.962479999999999</v>
      </c>
      <c r="F124" s="50" t="s">
        <v>451</v>
      </c>
      <c r="G124" s="14">
        <f>31962.48/1000</f>
        <v>31.962479999999999</v>
      </c>
      <c r="H124" s="197"/>
      <c r="I124" s="51"/>
      <c r="J124" s="206"/>
    </row>
    <row r="125" spans="1:10" ht="28.5" customHeight="1" x14ac:dyDescent="0.25">
      <c r="A125" s="220"/>
      <c r="B125" s="238"/>
      <c r="C125" s="238"/>
      <c r="D125" s="16"/>
      <c r="E125" s="16">
        <f>+G125</f>
        <v>5.3270799999999996</v>
      </c>
      <c r="F125" s="51" t="s">
        <v>483</v>
      </c>
      <c r="G125" s="16">
        <f>5327.08/1000</f>
        <v>5.3270799999999996</v>
      </c>
      <c r="H125" s="197"/>
      <c r="I125" s="51"/>
      <c r="J125" s="206"/>
    </row>
    <row r="126" spans="1:10" ht="27.75" customHeight="1" x14ac:dyDescent="0.25">
      <c r="A126" s="220"/>
      <c r="B126" s="51" t="s">
        <v>246</v>
      </c>
      <c r="C126" s="51" t="s">
        <v>213</v>
      </c>
      <c r="D126" s="16">
        <v>225.99299999999999</v>
      </c>
      <c r="E126" s="16">
        <f t="shared" si="13"/>
        <v>215.67</v>
      </c>
      <c r="F126" s="51" t="s">
        <v>214</v>
      </c>
      <c r="G126" s="16">
        <f>215670/1000</f>
        <v>215.67</v>
      </c>
      <c r="H126" s="197"/>
      <c r="I126" s="51"/>
      <c r="J126" s="206"/>
    </row>
    <row r="127" spans="1:10" ht="30.75" customHeight="1" x14ac:dyDescent="0.25">
      <c r="A127" s="220"/>
      <c r="B127" s="236" t="s">
        <v>245</v>
      </c>
      <c r="C127" s="236" t="s">
        <v>204</v>
      </c>
      <c r="D127" s="239">
        <v>1477.82608</v>
      </c>
      <c r="E127" s="239">
        <f>G127+G128</f>
        <v>1379.6089999999999</v>
      </c>
      <c r="F127" s="51" t="s">
        <v>215</v>
      </c>
      <c r="G127" s="16">
        <f>468682.5/1000</f>
        <v>468.6825</v>
      </c>
      <c r="H127" s="197"/>
      <c r="I127" s="51"/>
      <c r="J127" s="206"/>
    </row>
    <row r="128" spans="1:10" ht="33" customHeight="1" x14ac:dyDescent="0.25">
      <c r="A128" s="220"/>
      <c r="B128" s="237"/>
      <c r="C128" s="237"/>
      <c r="D128" s="241"/>
      <c r="E128" s="241"/>
      <c r="F128" s="51" t="s">
        <v>216</v>
      </c>
      <c r="G128" s="16">
        <f>910926.5/1000</f>
        <v>910.92650000000003</v>
      </c>
      <c r="H128" s="197"/>
      <c r="I128" s="51"/>
      <c r="J128" s="206"/>
    </row>
    <row r="129" spans="1:15" ht="33" customHeight="1" x14ac:dyDescent="0.25">
      <c r="A129" s="220"/>
      <c r="B129" s="238"/>
      <c r="C129" s="238"/>
      <c r="D129" s="32"/>
      <c r="E129" s="32">
        <f>+G129</f>
        <v>156.22749999999999</v>
      </c>
      <c r="F129" s="51" t="s">
        <v>484</v>
      </c>
      <c r="G129" s="16">
        <f>156227.5/1000</f>
        <v>156.22749999999999</v>
      </c>
      <c r="H129" s="197"/>
      <c r="I129" s="51"/>
      <c r="J129" s="206"/>
    </row>
    <row r="130" spans="1:15" ht="30" customHeight="1" x14ac:dyDescent="0.25">
      <c r="A130" s="220"/>
      <c r="B130" s="51" t="s">
        <v>247</v>
      </c>
      <c r="C130" s="51" t="s">
        <v>217</v>
      </c>
      <c r="D130" s="16">
        <f>217710/1000</f>
        <v>217.71</v>
      </c>
      <c r="E130" s="16">
        <f t="shared" si="13"/>
        <v>217.71</v>
      </c>
      <c r="F130" s="51" t="s">
        <v>218</v>
      </c>
      <c r="G130" s="16">
        <f>217710/1000</f>
        <v>217.71</v>
      </c>
      <c r="H130" s="197"/>
      <c r="I130" s="51"/>
      <c r="J130" s="206"/>
    </row>
    <row r="131" spans="1:15" ht="33" customHeight="1" x14ac:dyDescent="0.25">
      <c r="A131" s="220"/>
      <c r="B131" s="51" t="s">
        <v>222</v>
      </c>
      <c r="C131" s="51" t="s">
        <v>208</v>
      </c>
      <c r="D131" s="14">
        <f>1399610.43/1000</f>
        <v>1399.61043</v>
      </c>
      <c r="E131" s="16">
        <f t="shared" si="13"/>
        <v>1367.01755</v>
      </c>
      <c r="F131" s="51" t="s">
        <v>219</v>
      </c>
      <c r="G131" s="16">
        <f>1367017.55/1000</f>
        <v>1367.01755</v>
      </c>
      <c r="H131" s="197"/>
      <c r="I131" s="51"/>
      <c r="J131" s="206"/>
    </row>
    <row r="132" spans="1:15" ht="30" customHeight="1" x14ac:dyDescent="0.25">
      <c r="A132" s="220"/>
      <c r="B132" s="51" t="s">
        <v>220</v>
      </c>
      <c r="C132" s="51" t="s">
        <v>207</v>
      </c>
      <c r="D132" s="14">
        <f>1002233.7/1000</f>
        <v>1002.2337</v>
      </c>
      <c r="E132" s="16">
        <f t="shared" si="13"/>
        <v>553.70899999999995</v>
      </c>
      <c r="F132" s="51" t="s">
        <v>252</v>
      </c>
      <c r="G132" s="16">
        <f>553709/1000</f>
        <v>553.70899999999995</v>
      </c>
      <c r="H132" s="197"/>
      <c r="I132" s="51"/>
      <c r="J132" s="206"/>
    </row>
    <row r="133" spans="1:15" ht="28.5" customHeight="1" x14ac:dyDescent="0.25">
      <c r="A133" s="220"/>
      <c r="B133" s="51" t="s">
        <v>268</v>
      </c>
      <c r="C133" s="50" t="s">
        <v>249</v>
      </c>
      <c r="D133" s="14">
        <f>437874.4/1000</f>
        <v>437.87440000000004</v>
      </c>
      <c r="E133" s="16">
        <f>G133</f>
        <v>353.4855</v>
      </c>
      <c r="F133" s="51" t="s">
        <v>253</v>
      </c>
      <c r="G133" s="16">
        <f>353485.5/1000</f>
        <v>353.4855</v>
      </c>
      <c r="H133" s="197"/>
      <c r="I133" s="51"/>
      <c r="J133" s="206"/>
    </row>
    <row r="134" spans="1:15" ht="28.5" customHeight="1" x14ac:dyDescent="0.25">
      <c r="A134" s="220"/>
      <c r="B134" s="51" t="s">
        <v>245</v>
      </c>
      <c r="C134" s="51" t="s">
        <v>340</v>
      </c>
      <c r="D134" s="16">
        <f>976032.17/1000</f>
        <v>976.03217000000006</v>
      </c>
      <c r="E134" s="16">
        <f>G134</f>
        <v>856.50148999999999</v>
      </c>
      <c r="F134" s="51" t="s">
        <v>341</v>
      </c>
      <c r="G134" s="16">
        <f>856501.49/1000</f>
        <v>856.50148999999999</v>
      </c>
      <c r="H134" s="197"/>
      <c r="I134" s="51"/>
      <c r="J134" s="206"/>
      <c r="O134" s="6"/>
    </row>
    <row r="135" spans="1:15" ht="33.75" customHeight="1" x14ac:dyDescent="0.25">
      <c r="A135" s="220"/>
      <c r="B135" s="51" t="s">
        <v>346</v>
      </c>
      <c r="C135" s="51"/>
      <c r="D135" s="16"/>
      <c r="E135" s="16">
        <f>G135</f>
        <v>23.661000000000001</v>
      </c>
      <c r="F135" s="51" t="s">
        <v>347</v>
      </c>
      <c r="G135" s="16">
        <f>23661/1000</f>
        <v>23.661000000000001</v>
      </c>
      <c r="H135" s="197"/>
      <c r="I135" s="51"/>
      <c r="J135" s="206"/>
    </row>
    <row r="136" spans="1:15" ht="33.75" customHeight="1" x14ac:dyDescent="0.25">
      <c r="A136" s="220"/>
      <c r="B136" s="51" t="s">
        <v>443</v>
      </c>
      <c r="C136" s="50"/>
      <c r="D136" s="14"/>
      <c r="E136" s="14">
        <f>G136</f>
        <v>81.927999999999997</v>
      </c>
      <c r="F136" s="50" t="s">
        <v>444</v>
      </c>
      <c r="G136" s="14">
        <f>81928/1000</f>
        <v>81.927999999999997</v>
      </c>
      <c r="H136" s="203"/>
      <c r="I136" s="50"/>
      <c r="J136" s="209"/>
    </row>
    <row r="137" spans="1:15" ht="33.75" customHeight="1" x14ac:dyDescent="0.25">
      <c r="A137" s="220"/>
      <c r="B137" s="51" t="s">
        <v>445</v>
      </c>
      <c r="C137" s="50" t="s">
        <v>446</v>
      </c>
      <c r="D137" s="14"/>
      <c r="E137" s="90">
        <f>G137</f>
        <v>6.1395</v>
      </c>
      <c r="F137" s="50" t="s">
        <v>447</v>
      </c>
      <c r="G137" s="47">
        <f>6139.5/1000</f>
        <v>6.1395</v>
      </c>
      <c r="H137" s="203"/>
      <c r="I137" s="50"/>
      <c r="J137" s="209"/>
    </row>
    <row r="138" spans="1:15" ht="46.5" customHeight="1" x14ac:dyDescent="0.25">
      <c r="A138" s="220"/>
      <c r="B138" s="51" t="s">
        <v>222</v>
      </c>
      <c r="C138" s="51" t="s">
        <v>481</v>
      </c>
      <c r="D138" s="16"/>
      <c r="E138" s="91">
        <f>+G138</f>
        <v>413.38517999999999</v>
      </c>
      <c r="F138" s="51" t="s">
        <v>482</v>
      </c>
      <c r="G138" s="25">
        <f>413385.18/1000</f>
        <v>413.38517999999999</v>
      </c>
      <c r="H138" s="203"/>
      <c r="I138" s="50"/>
      <c r="J138" s="209"/>
    </row>
    <row r="139" spans="1:15" ht="46.5" customHeight="1" x14ac:dyDescent="0.25">
      <c r="A139" s="220"/>
      <c r="B139" s="236" t="s">
        <v>221</v>
      </c>
      <c r="C139" s="236" t="s">
        <v>485</v>
      </c>
      <c r="D139" s="16"/>
      <c r="E139" s="91">
        <f>+G139</f>
        <v>116.245</v>
      </c>
      <c r="F139" s="51" t="s">
        <v>486</v>
      </c>
      <c r="G139" s="25">
        <f>116245/1000</f>
        <v>116.245</v>
      </c>
      <c r="H139" s="203"/>
      <c r="I139" s="50"/>
      <c r="J139" s="209"/>
    </row>
    <row r="140" spans="1:15" ht="33.75" customHeight="1" x14ac:dyDescent="0.25">
      <c r="A140" s="220"/>
      <c r="B140" s="238"/>
      <c r="C140" s="238"/>
      <c r="D140" s="16"/>
      <c r="E140" s="91">
        <f>+G140</f>
        <v>15.874000000000001</v>
      </c>
      <c r="F140" s="51" t="s">
        <v>487</v>
      </c>
      <c r="G140" s="25">
        <f>15874/1000</f>
        <v>15.874000000000001</v>
      </c>
      <c r="H140" s="203"/>
      <c r="I140" s="50"/>
      <c r="J140" s="209"/>
    </row>
    <row r="141" spans="1:15" ht="44.25" customHeight="1" x14ac:dyDescent="0.25">
      <c r="A141" s="220"/>
      <c r="B141" s="236" t="s">
        <v>136</v>
      </c>
      <c r="C141" s="236"/>
      <c r="D141" s="236"/>
      <c r="E141" s="16"/>
      <c r="F141" s="25"/>
      <c r="G141" s="16"/>
      <c r="H141" s="203">
        <v>128.95178060000001</v>
      </c>
      <c r="I141" s="47" t="s">
        <v>200</v>
      </c>
      <c r="J141" s="209">
        <f>109281.17*1.18/1000</f>
        <v>128.95178060000001</v>
      </c>
    </row>
    <row r="142" spans="1:15" ht="44.25" customHeight="1" x14ac:dyDescent="0.25">
      <c r="A142" s="220"/>
      <c r="B142" s="236" t="s">
        <v>374</v>
      </c>
      <c r="C142" s="236"/>
      <c r="D142" s="236"/>
      <c r="E142" s="16"/>
      <c r="F142" s="25"/>
      <c r="G142" s="16"/>
      <c r="H142" s="203">
        <f>J142</f>
        <v>888.19946379999999</v>
      </c>
      <c r="I142" s="25" t="s">
        <v>388</v>
      </c>
      <c r="J142" s="206">
        <f>752711.41*1.18/1000</f>
        <v>888.19946379999999</v>
      </c>
    </row>
    <row r="143" spans="1:15" ht="44.25" customHeight="1" x14ac:dyDescent="0.25">
      <c r="A143" s="220"/>
      <c r="B143" s="236" t="s">
        <v>348</v>
      </c>
      <c r="C143" s="236"/>
      <c r="D143" s="236"/>
      <c r="E143" s="16"/>
      <c r="F143" s="25"/>
      <c r="G143" s="16"/>
      <c r="H143" s="198">
        <f>J143</f>
        <v>7272.3609095999991</v>
      </c>
      <c r="I143" s="25" t="s">
        <v>389</v>
      </c>
      <c r="J143" s="206">
        <f>6163017.72*1.18/1000</f>
        <v>7272.3609095999991</v>
      </c>
    </row>
    <row r="144" spans="1:15" ht="62.25" customHeight="1" x14ac:dyDescent="0.25">
      <c r="A144" s="220"/>
      <c r="B144" s="223" t="s">
        <v>549</v>
      </c>
      <c r="C144" s="223"/>
      <c r="D144" s="223"/>
      <c r="E144" s="48"/>
      <c r="F144" s="48"/>
      <c r="G144" s="48"/>
      <c r="H144" s="84">
        <f>+J144</f>
        <v>8125.5915335999989</v>
      </c>
      <c r="I144" s="179" t="s">
        <v>625</v>
      </c>
      <c r="J144" s="84">
        <f>6886094.52*1.18/1000</f>
        <v>8125.5915335999989</v>
      </c>
    </row>
    <row r="145" spans="1:12" ht="49.5" customHeight="1" x14ac:dyDescent="0.25">
      <c r="A145" s="220"/>
      <c r="B145" s="236" t="s">
        <v>551</v>
      </c>
      <c r="C145" s="236"/>
      <c r="D145" s="236"/>
      <c r="E145" s="189"/>
      <c r="F145" s="189"/>
      <c r="G145" s="189"/>
      <c r="H145" s="305">
        <f>+J145</f>
        <v>3123.0047795999999</v>
      </c>
      <c r="I145" s="211" t="s">
        <v>626</v>
      </c>
      <c r="J145" s="305">
        <f>2646614.22*1.18/1000</f>
        <v>3123.0047795999999</v>
      </c>
    </row>
    <row r="146" spans="1:12" ht="73.5" customHeight="1" x14ac:dyDescent="0.25">
      <c r="A146" s="219" t="s">
        <v>357</v>
      </c>
      <c r="B146" s="210" t="s">
        <v>365</v>
      </c>
      <c r="C146" s="210" t="s">
        <v>366</v>
      </c>
      <c r="D146" s="210">
        <f>10481420/1000</f>
        <v>10481.42</v>
      </c>
      <c r="E146" s="212">
        <f>G146</f>
        <v>5621</v>
      </c>
      <c r="F146" s="211" t="s">
        <v>460</v>
      </c>
      <c r="G146" s="212">
        <v>5621</v>
      </c>
      <c r="H146" s="212">
        <f>J146</f>
        <v>5621</v>
      </c>
      <c r="I146" s="211" t="s">
        <v>390</v>
      </c>
      <c r="J146" s="218">
        <v>5621</v>
      </c>
    </row>
    <row r="147" spans="1:12" ht="73.5" customHeight="1" thickBot="1" x14ac:dyDescent="0.3">
      <c r="A147" s="306" t="s">
        <v>652</v>
      </c>
      <c r="B147" s="215" t="s">
        <v>653</v>
      </c>
      <c r="C147" s="215" t="s">
        <v>654</v>
      </c>
      <c r="D147" s="215"/>
      <c r="E147" s="43">
        <f>G147</f>
        <v>121.566674944767</v>
      </c>
      <c r="F147" s="44" t="s">
        <v>359</v>
      </c>
      <c r="G147" s="43">
        <f>121566.674944767/1000</f>
        <v>121.566674944767</v>
      </c>
      <c r="H147" s="43"/>
      <c r="I147" s="44"/>
      <c r="J147" s="307"/>
    </row>
    <row r="148" spans="1:12" ht="73.5" customHeight="1" thickBot="1" x14ac:dyDescent="0.3">
      <c r="A148" s="216" t="s">
        <v>655</v>
      </c>
      <c r="B148" s="214" t="s">
        <v>653</v>
      </c>
      <c r="C148" s="214" t="s">
        <v>654</v>
      </c>
      <c r="D148" s="214"/>
      <c r="E148" s="213">
        <f>G148</f>
        <v>63.0180930819607</v>
      </c>
      <c r="F148" s="217" t="s">
        <v>359</v>
      </c>
      <c r="G148" s="213">
        <f>63018.0930819607/1000</f>
        <v>63.0180930819607</v>
      </c>
      <c r="H148" s="213"/>
      <c r="I148" s="217"/>
      <c r="J148" s="308"/>
    </row>
    <row r="149" spans="1:12" ht="73.5" customHeight="1" thickBot="1" x14ac:dyDescent="0.3">
      <c r="A149" s="61" t="s">
        <v>656</v>
      </c>
      <c r="B149" s="93" t="s">
        <v>653</v>
      </c>
      <c r="C149" s="93" t="s">
        <v>654</v>
      </c>
      <c r="D149" s="93"/>
      <c r="E149" s="94">
        <f>G149</f>
        <v>94.776868964686699</v>
      </c>
      <c r="F149" s="95" t="s">
        <v>359</v>
      </c>
      <c r="G149" s="94">
        <f>94776.8689646867/1000</f>
        <v>94.776868964686699</v>
      </c>
      <c r="H149" s="94"/>
      <c r="I149" s="95"/>
      <c r="J149" s="94"/>
    </row>
    <row r="150" spans="1:12" ht="73.5" customHeight="1" thickBot="1" x14ac:dyDescent="0.3">
      <c r="A150" s="216" t="s">
        <v>657</v>
      </c>
      <c r="B150" s="214" t="s">
        <v>653</v>
      </c>
      <c r="C150" s="214" t="s">
        <v>654</v>
      </c>
      <c r="D150" s="214"/>
      <c r="E150" s="213">
        <f>G150</f>
        <v>93.527123008585306</v>
      </c>
      <c r="F150" s="217" t="s">
        <v>359</v>
      </c>
      <c r="G150" s="213">
        <f>93527.1230085853/1000</f>
        <v>93.527123008585306</v>
      </c>
      <c r="H150" s="213"/>
      <c r="I150" s="217"/>
      <c r="J150" s="213"/>
    </row>
    <row r="151" spans="1:12" s="3" customFormat="1" ht="33" customHeight="1" x14ac:dyDescent="0.25">
      <c r="A151" s="222" t="s">
        <v>14</v>
      </c>
      <c r="B151" s="237" t="s">
        <v>15</v>
      </c>
      <c r="C151" s="237" t="s">
        <v>55</v>
      </c>
      <c r="D151" s="240">
        <v>16520.70492</v>
      </c>
      <c r="E151" s="15">
        <v>2301.1429600000001</v>
      </c>
      <c r="F151" s="54" t="s">
        <v>274</v>
      </c>
      <c r="G151" s="15">
        <f t="shared" si="5"/>
        <v>2301.1429600000001</v>
      </c>
      <c r="H151" s="240">
        <f>+J151+J152+J153+J154+J155+J156+J157</f>
        <v>7553.2859521999999</v>
      </c>
      <c r="I151" s="54" t="s">
        <v>150</v>
      </c>
      <c r="J151" s="207">
        <f>124678.78*1.18/1000</f>
        <v>147.12096039999997</v>
      </c>
      <c r="K151" s="11">
        <f>E151</f>
        <v>2301.1429600000001</v>
      </c>
    </row>
    <row r="152" spans="1:12" s="3" customFormat="1" ht="28.5" x14ac:dyDescent="0.25">
      <c r="A152" s="222"/>
      <c r="B152" s="237"/>
      <c r="C152" s="237"/>
      <c r="D152" s="240"/>
      <c r="E152" s="14">
        <v>147.12096</v>
      </c>
      <c r="F152" s="47" t="s">
        <v>275</v>
      </c>
      <c r="G152" s="14">
        <f t="shared" si="5"/>
        <v>147.12096</v>
      </c>
      <c r="H152" s="240"/>
      <c r="I152" s="47" t="s">
        <v>152</v>
      </c>
      <c r="J152" s="209">
        <f>155260.48*1.18/1000</f>
        <v>183.20736640000001</v>
      </c>
      <c r="L152" s="11">
        <f>G152</f>
        <v>147.12096</v>
      </c>
    </row>
    <row r="153" spans="1:12" s="3" customFormat="1" ht="28.5" x14ac:dyDescent="0.25">
      <c r="A153" s="222"/>
      <c r="B153" s="237"/>
      <c r="C153" s="237"/>
      <c r="D153" s="240"/>
      <c r="E153" s="14">
        <v>183.20737</v>
      </c>
      <c r="F153" s="47" t="s">
        <v>276</v>
      </c>
      <c r="G153" s="14">
        <f t="shared" si="5"/>
        <v>183.20737</v>
      </c>
      <c r="H153" s="240"/>
      <c r="I153" s="47" t="s">
        <v>391</v>
      </c>
      <c r="J153" s="209">
        <f>1456301.71*1.18/1000</f>
        <v>1718.4360177999997</v>
      </c>
      <c r="L153" s="11"/>
    </row>
    <row r="154" spans="1:12" s="3" customFormat="1" ht="28.5" x14ac:dyDescent="0.25">
      <c r="A154" s="222"/>
      <c r="B154" s="237"/>
      <c r="C154" s="237"/>
      <c r="D154" s="240"/>
      <c r="E154" s="16">
        <f>G154</f>
        <v>1718.4360200000001</v>
      </c>
      <c r="F154" s="25" t="s">
        <v>339</v>
      </c>
      <c r="G154" s="16">
        <f>1718436.02/1000</f>
        <v>1718.4360200000001</v>
      </c>
      <c r="H154" s="240"/>
      <c r="I154" s="47" t="s">
        <v>392</v>
      </c>
      <c r="J154" s="209">
        <f>1004710.68*1.18/1000</f>
        <v>1185.5586023999999</v>
      </c>
      <c r="L154" s="11"/>
    </row>
    <row r="155" spans="1:12" s="3" customFormat="1" ht="28.5" x14ac:dyDescent="0.25">
      <c r="A155" s="222"/>
      <c r="B155" s="237"/>
      <c r="C155" s="237"/>
      <c r="D155" s="240"/>
      <c r="E155" s="16">
        <f>G155</f>
        <v>1185.5586000000001</v>
      </c>
      <c r="F155" s="25" t="s">
        <v>338</v>
      </c>
      <c r="G155" s="16">
        <f>1185558.6/1000</f>
        <v>1185.5586000000001</v>
      </c>
      <c r="H155" s="240"/>
      <c r="I155" s="47" t="s">
        <v>393</v>
      </c>
      <c r="J155" s="209">
        <f>659000.61*1.18/1000</f>
        <v>777.62071979999996</v>
      </c>
      <c r="L155" s="11"/>
    </row>
    <row r="156" spans="1:12" s="3" customFormat="1" ht="28.5" x14ac:dyDescent="0.25">
      <c r="A156" s="222"/>
      <c r="B156" s="237"/>
      <c r="C156" s="237"/>
      <c r="D156" s="240"/>
      <c r="E156" s="14">
        <f>G156</f>
        <v>777.62072000000001</v>
      </c>
      <c r="F156" s="47" t="s">
        <v>464</v>
      </c>
      <c r="G156" s="14">
        <f>777620.72/1000</f>
        <v>777.62072000000001</v>
      </c>
      <c r="H156" s="240"/>
      <c r="I156" s="47" t="s">
        <v>394</v>
      </c>
      <c r="J156" s="209">
        <f>1478416.53*1.18/1000</f>
        <v>1744.5315054</v>
      </c>
      <c r="L156" s="11"/>
    </row>
    <row r="157" spans="1:12" s="3" customFormat="1" ht="28.5" x14ac:dyDescent="0.25">
      <c r="A157" s="222"/>
      <c r="B157" s="237"/>
      <c r="C157" s="237"/>
      <c r="D157" s="240"/>
      <c r="E157" s="14">
        <f>G157</f>
        <v>1744.53151</v>
      </c>
      <c r="F157" s="47" t="s">
        <v>465</v>
      </c>
      <c r="G157" s="14">
        <f>1744531.51/1000</f>
        <v>1744.53151</v>
      </c>
      <c r="H157" s="241"/>
      <c r="I157" s="47" t="s">
        <v>395</v>
      </c>
      <c r="J157" s="209">
        <f>1522721*1.18/1000</f>
        <v>1796.8107799999998</v>
      </c>
      <c r="L157" s="11"/>
    </row>
    <row r="158" spans="1:12" s="3" customFormat="1" ht="28.5" x14ac:dyDescent="0.25">
      <c r="A158" s="222"/>
      <c r="B158" s="237"/>
      <c r="C158" s="237"/>
      <c r="D158" s="240"/>
      <c r="E158" s="14">
        <f>G158</f>
        <v>1796.81078</v>
      </c>
      <c r="F158" s="47" t="s">
        <v>466</v>
      </c>
      <c r="G158" s="14">
        <f>1796810.78/1000</f>
        <v>1796.81078</v>
      </c>
      <c r="H158" s="203">
        <f>+J158</f>
        <v>771.66527159999998</v>
      </c>
      <c r="I158" s="184" t="s">
        <v>574</v>
      </c>
      <c r="J158" s="209">
        <f>653953.62*1.18/1000</f>
        <v>771.66527159999998</v>
      </c>
      <c r="L158" s="11"/>
    </row>
    <row r="159" spans="1:12" s="3" customFormat="1" ht="28.5" x14ac:dyDescent="0.25">
      <c r="A159" s="222"/>
      <c r="B159" s="237"/>
      <c r="C159" s="237"/>
      <c r="D159" s="240"/>
      <c r="E159" s="14">
        <f>+G159</f>
        <v>317.88373999999999</v>
      </c>
      <c r="F159" s="47" t="s">
        <v>502</v>
      </c>
      <c r="G159" s="14">
        <f>317883.74/1000</f>
        <v>317.88373999999999</v>
      </c>
      <c r="H159" s="203">
        <f>+J159</f>
        <v>317.88373999999999</v>
      </c>
      <c r="I159" s="184" t="s">
        <v>579</v>
      </c>
      <c r="J159" s="209">
        <f>269393*1.18/1000</f>
        <v>317.88373999999999</v>
      </c>
      <c r="L159" s="11"/>
    </row>
    <row r="160" spans="1:12" s="3" customFormat="1" ht="33.75" customHeight="1" x14ac:dyDescent="0.25">
      <c r="A160" s="222"/>
      <c r="B160" s="237"/>
      <c r="C160" s="237"/>
      <c r="D160" s="240"/>
      <c r="E160" s="55">
        <f>+G160</f>
        <v>771.66526999999996</v>
      </c>
      <c r="F160" s="56" t="s">
        <v>503</v>
      </c>
      <c r="G160" s="55">
        <f>771665.27/1000</f>
        <v>771.66526999999996</v>
      </c>
      <c r="H160" s="97"/>
      <c r="I160" s="184"/>
      <c r="J160" s="209"/>
      <c r="L160" s="11"/>
    </row>
    <row r="161" spans="1:15" s="3" customFormat="1" ht="33.75" customHeight="1" x14ac:dyDescent="0.25">
      <c r="A161" s="222"/>
      <c r="B161" s="237"/>
      <c r="C161" s="237"/>
      <c r="D161" s="240"/>
      <c r="E161" s="55">
        <f>+G161</f>
        <v>842.18830000000003</v>
      </c>
      <c r="F161" s="56" t="s">
        <v>536</v>
      </c>
      <c r="G161" s="55">
        <f>842188.3/1000</f>
        <v>842.18830000000003</v>
      </c>
      <c r="H161" s="199">
        <f>+J161</f>
        <v>773.06681659999992</v>
      </c>
      <c r="I161" s="184" t="s">
        <v>595</v>
      </c>
      <c r="J161" s="209">
        <f>655141.37*1.18/1000</f>
        <v>773.06681659999992</v>
      </c>
      <c r="L161" s="11"/>
    </row>
    <row r="162" spans="1:15" s="3" customFormat="1" ht="33.75" customHeight="1" x14ac:dyDescent="0.25">
      <c r="A162" s="222"/>
      <c r="B162" s="237"/>
      <c r="C162" s="237"/>
      <c r="D162" s="240"/>
      <c r="E162" s="55">
        <f>+G162</f>
        <v>773.06681999999989</v>
      </c>
      <c r="F162" s="56" t="s">
        <v>537</v>
      </c>
      <c r="G162" s="57">
        <f>773066.82/1000</f>
        <v>773.06681999999989</v>
      </c>
      <c r="H162" s="199">
        <f>+J162</f>
        <v>842.18830200000002</v>
      </c>
      <c r="I162" s="184" t="s">
        <v>596</v>
      </c>
      <c r="J162" s="209">
        <f>713718.9*1.18/1000</f>
        <v>842.18830200000002</v>
      </c>
      <c r="L162" s="11"/>
    </row>
    <row r="163" spans="1:15" s="3" customFormat="1" ht="50.25" customHeight="1" x14ac:dyDescent="0.25">
      <c r="A163" s="222"/>
      <c r="B163" s="236" t="s">
        <v>48</v>
      </c>
      <c r="C163" s="236" t="s">
        <v>49</v>
      </c>
      <c r="D163" s="239"/>
      <c r="E163" s="224">
        <f>G163+G164</f>
        <v>30.951647800000003</v>
      </c>
      <c r="F163" s="50" t="s">
        <v>273</v>
      </c>
      <c r="G163" s="14">
        <f>13518.87*1.18/1000</f>
        <v>15.952266600000002</v>
      </c>
      <c r="H163" s="203">
        <f t="shared" ref="H163:H164" si="14">J163</f>
        <v>1.8828670000000001</v>
      </c>
      <c r="I163" s="50" t="s">
        <v>145</v>
      </c>
      <c r="J163" s="209">
        <f>1595.65*1.18/1000</f>
        <v>1.8828670000000001</v>
      </c>
    </row>
    <row r="164" spans="1:15" s="3" customFormat="1" ht="50.25" customHeight="1" x14ac:dyDescent="0.25">
      <c r="A164" s="222"/>
      <c r="B164" s="237"/>
      <c r="C164" s="237"/>
      <c r="D164" s="240"/>
      <c r="E164" s="224"/>
      <c r="F164" s="51" t="s">
        <v>265</v>
      </c>
      <c r="G164" s="16">
        <f>12711.34*1.18/1000</f>
        <v>14.9993812</v>
      </c>
      <c r="H164" s="197">
        <f t="shared" si="14"/>
        <v>13.116514199999999</v>
      </c>
      <c r="I164" s="51" t="s">
        <v>396</v>
      </c>
      <c r="J164" s="206">
        <f>11115.69*1.18/1000</f>
        <v>13.116514199999999</v>
      </c>
    </row>
    <row r="165" spans="1:15" s="3" customFormat="1" ht="27.75" customHeight="1" x14ac:dyDescent="0.25">
      <c r="A165" s="222"/>
      <c r="B165" s="237"/>
      <c r="C165" s="237"/>
      <c r="D165" s="240"/>
      <c r="E165" s="97"/>
      <c r="F165" s="51"/>
      <c r="G165" s="16"/>
      <c r="H165" s="197">
        <f>J165</f>
        <v>16.5527686</v>
      </c>
      <c r="I165" s="51" t="s">
        <v>372</v>
      </c>
      <c r="J165" s="206">
        <f>14027.77*1.18/1000</f>
        <v>16.5527686</v>
      </c>
    </row>
    <row r="166" spans="1:15" s="3" customFormat="1" ht="34.5" customHeight="1" x14ac:dyDescent="0.25">
      <c r="A166" s="222"/>
      <c r="B166" s="237"/>
      <c r="C166" s="237"/>
      <c r="D166" s="240"/>
      <c r="E166" s="97"/>
      <c r="F166" s="51"/>
      <c r="G166" s="16"/>
      <c r="H166" s="197">
        <f>J166</f>
        <v>24.6180922</v>
      </c>
      <c r="I166" s="51" t="s">
        <v>373</v>
      </c>
      <c r="J166" s="206">
        <f>20862.79*1.18/1000</f>
        <v>24.6180922</v>
      </c>
    </row>
    <row r="167" spans="1:15" s="3" customFormat="1" ht="33.75" customHeight="1" x14ac:dyDescent="0.25">
      <c r="A167" s="222"/>
      <c r="B167" s="237"/>
      <c r="C167" s="237"/>
      <c r="D167" s="240"/>
      <c r="E167" s="14">
        <f>+G167</f>
        <v>93.221675599999983</v>
      </c>
      <c r="F167" s="50" t="s">
        <v>552</v>
      </c>
      <c r="G167" s="16">
        <f>79001.42*1.18/1000</f>
        <v>93.221675599999983</v>
      </c>
      <c r="H167" s="203">
        <f>+J167</f>
        <v>6.2104225999999993</v>
      </c>
      <c r="I167" s="172" t="s">
        <v>631</v>
      </c>
      <c r="J167" s="206">
        <f>5263.07*1.18/1000</f>
        <v>6.2104225999999993</v>
      </c>
      <c r="O167" s="11"/>
    </row>
    <row r="168" spans="1:15" s="3" customFormat="1" ht="33.75" customHeight="1" x14ac:dyDescent="0.25">
      <c r="A168" s="222"/>
      <c r="B168" s="173"/>
      <c r="C168" s="173"/>
      <c r="D168" s="241"/>
      <c r="E168" s="181"/>
      <c r="F168" s="178"/>
      <c r="G168" s="175"/>
      <c r="H168" s="199">
        <f>+J168</f>
        <v>9.2069499999999991</v>
      </c>
      <c r="I168" s="184" t="s">
        <v>633</v>
      </c>
      <c r="J168" s="209">
        <f>7802.5*1.18/1000</f>
        <v>9.2069499999999991</v>
      </c>
      <c r="O168" s="11"/>
    </row>
    <row r="169" spans="1:15" s="3" customFormat="1" ht="46.5" customHeight="1" x14ac:dyDescent="0.25">
      <c r="A169" s="222"/>
      <c r="B169" s="50" t="s">
        <v>461</v>
      </c>
      <c r="C169" s="50" t="s">
        <v>462</v>
      </c>
      <c r="D169" s="14"/>
      <c r="E169" s="14">
        <f>G169</f>
        <v>40.72</v>
      </c>
      <c r="F169" s="50" t="s">
        <v>463</v>
      </c>
      <c r="G169" s="14">
        <f>40720/1000</f>
        <v>40.72</v>
      </c>
      <c r="H169" s="203"/>
      <c r="I169" s="178"/>
      <c r="J169" s="203"/>
      <c r="O169" s="11"/>
    </row>
    <row r="170" spans="1:15" s="23" customFormat="1" ht="54" customHeight="1" x14ac:dyDescent="0.25">
      <c r="A170" s="222"/>
      <c r="B170" s="56" t="s">
        <v>222</v>
      </c>
      <c r="C170" s="56" t="s">
        <v>481</v>
      </c>
      <c r="D170" s="58"/>
      <c r="E170" s="55">
        <f>+G170</f>
        <v>163.87379999999999</v>
      </c>
      <c r="F170" s="56" t="s">
        <v>498</v>
      </c>
      <c r="G170" s="55">
        <f>163873.8/1000</f>
        <v>163.87379999999999</v>
      </c>
      <c r="H170" s="58"/>
      <c r="I170" s="58"/>
      <c r="J170" s="58"/>
      <c r="O170" s="24"/>
    </row>
    <row r="171" spans="1:15" s="23" customFormat="1" ht="54" customHeight="1" x14ac:dyDescent="0.25">
      <c r="A171" s="222"/>
      <c r="B171" s="251" t="s">
        <v>499</v>
      </c>
      <c r="C171" s="157" t="s">
        <v>500</v>
      </c>
      <c r="D171" s="58"/>
      <c r="E171" s="55">
        <f>+G171</f>
        <v>43.307720000000003</v>
      </c>
      <c r="F171" s="56" t="s">
        <v>501</v>
      </c>
      <c r="G171" s="55">
        <f>43307.72/1000</f>
        <v>43.307720000000003</v>
      </c>
      <c r="H171" s="55">
        <f>+J171</f>
        <v>43.307722799999993</v>
      </c>
      <c r="I171" s="192" t="s">
        <v>580</v>
      </c>
      <c r="J171" s="193">
        <f>36701.46*1.18/1000</f>
        <v>43.307722799999993</v>
      </c>
      <c r="O171" s="24"/>
    </row>
    <row r="172" spans="1:15" s="23" customFormat="1" ht="76.5" customHeight="1" x14ac:dyDescent="0.25">
      <c r="A172" s="222"/>
      <c r="B172" s="252"/>
      <c r="C172" s="56" t="s">
        <v>557</v>
      </c>
      <c r="D172" s="58"/>
      <c r="E172" s="55"/>
      <c r="F172" s="56"/>
      <c r="G172" s="55"/>
      <c r="H172" s="55">
        <f>+J172</f>
        <v>626.99999739999998</v>
      </c>
      <c r="I172" s="192" t="s">
        <v>640</v>
      </c>
      <c r="J172" s="193">
        <f>531355.93*1.18/1000</f>
        <v>626.99999739999998</v>
      </c>
      <c r="O172" s="24"/>
    </row>
    <row r="173" spans="1:15" s="3" customFormat="1" ht="51" customHeight="1" x14ac:dyDescent="0.25">
      <c r="A173" s="222"/>
      <c r="B173" s="223" t="s">
        <v>251</v>
      </c>
      <c r="C173" s="223"/>
      <c r="D173" s="223"/>
      <c r="E173" s="14"/>
      <c r="F173" s="47"/>
      <c r="G173" s="14"/>
      <c r="H173" s="203">
        <f t="shared" ref="H173" si="15">J173</f>
        <v>427.71644079999999</v>
      </c>
      <c r="I173" s="47" t="s">
        <v>397</v>
      </c>
      <c r="J173" s="209">
        <f>362471.56*1.18/1000</f>
        <v>427.71644079999999</v>
      </c>
    </row>
    <row r="174" spans="1:15" s="3" customFormat="1" ht="51" customHeight="1" x14ac:dyDescent="0.25">
      <c r="A174" s="222"/>
      <c r="B174" s="223" t="s">
        <v>348</v>
      </c>
      <c r="C174" s="223"/>
      <c r="D174" s="223"/>
      <c r="E174" s="14"/>
      <c r="F174" s="47"/>
      <c r="G174" s="14"/>
      <c r="H174" s="203">
        <f>J174</f>
        <v>432.07585639999991</v>
      </c>
      <c r="I174" s="47" t="s">
        <v>398</v>
      </c>
      <c r="J174" s="209">
        <f>366165.98*1.18/1000</f>
        <v>432.07585639999991</v>
      </c>
    </row>
    <row r="175" spans="1:15" s="3" customFormat="1" ht="51" customHeight="1" x14ac:dyDescent="0.25">
      <c r="A175" s="222"/>
      <c r="B175" s="223" t="s">
        <v>549</v>
      </c>
      <c r="C175" s="223"/>
      <c r="D175" s="223"/>
      <c r="E175" s="14"/>
      <c r="F175" s="47"/>
      <c r="G175" s="14"/>
      <c r="H175" s="203">
        <f>+J175</f>
        <v>307.15244239999998</v>
      </c>
      <c r="I175" s="184" t="s">
        <v>627</v>
      </c>
      <c r="J175" s="27">
        <f>260298.68*1.18/1000</f>
        <v>307.15244239999998</v>
      </c>
    </row>
    <row r="176" spans="1:15" s="3" customFormat="1" ht="51" customHeight="1" x14ac:dyDescent="0.25">
      <c r="A176" s="222"/>
      <c r="B176" s="223" t="s">
        <v>550</v>
      </c>
      <c r="C176" s="223"/>
      <c r="D176" s="223"/>
      <c r="E176" s="14"/>
      <c r="F176" s="47"/>
      <c r="G176" s="14"/>
      <c r="H176" s="203">
        <f>+J176</f>
        <v>62.698839799999995</v>
      </c>
      <c r="I176" s="184" t="s">
        <v>628</v>
      </c>
      <c r="J176" s="27">
        <f>53134.61*1.18/1000</f>
        <v>62.698839799999995</v>
      </c>
    </row>
    <row r="177" spans="1:12" s="3" customFormat="1" ht="18" customHeight="1" x14ac:dyDescent="0.25">
      <c r="A177" s="222"/>
      <c r="B177" s="271" t="s">
        <v>543</v>
      </c>
      <c r="C177" s="272"/>
      <c r="D177" s="273"/>
      <c r="E177" s="55">
        <f>+G177</f>
        <v>11.632760000000001</v>
      </c>
      <c r="F177" s="59" t="s">
        <v>544</v>
      </c>
      <c r="G177" s="55">
        <f>11632.76/1000</f>
        <v>11.632760000000001</v>
      </c>
      <c r="H177" s="55">
        <f>+J177</f>
        <v>11.632760000000001</v>
      </c>
      <c r="I177" s="171" t="s">
        <v>544</v>
      </c>
      <c r="J177" s="55">
        <f>11632.76/1000</f>
        <v>11.632760000000001</v>
      </c>
    </row>
    <row r="178" spans="1:12" s="3" customFormat="1" ht="18" customHeight="1" x14ac:dyDescent="0.25">
      <c r="A178" s="222"/>
      <c r="B178" s="236" t="s">
        <v>545</v>
      </c>
      <c r="C178" s="236"/>
      <c r="D178" s="236"/>
      <c r="E178" s="98">
        <f>+G178</f>
        <v>32.783230000000003</v>
      </c>
      <c r="F178" s="59" t="s">
        <v>544</v>
      </c>
      <c r="G178" s="98">
        <f>32783.23/1000</f>
        <v>32.783230000000003</v>
      </c>
      <c r="H178" s="55">
        <f t="shared" ref="H178:H179" si="16">+J178</f>
        <v>32.783230000000003</v>
      </c>
      <c r="I178" s="171" t="s">
        <v>544</v>
      </c>
      <c r="J178" s="98">
        <f>32783.23/1000</f>
        <v>32.783230000000003</v>
      </c>
    </row>
    <row r="179" spans="1:12" s="3" customFormat="1" ht="21" customHeight="1" thickBot="1" x14ac:dyDescent="0.3">
      <c r="A179" s="222"/>
      <c r="B179" s="236" t="s">
        <v>547</v>
      </c>
      <c r="C179" s="236"/>
      <c r="D179" s="236"/>
      <c r="E179" s="100">
        <f>+G179</f>
        <v>31.725709999999999</v>
      </c>
      <c r="F179" s="59" t="s">
        <v>544</v>
      </c>
      <c r="G179" s="100">
        <f>31725.71/1000</f>
        <v>31.725709999999999</v>
      </c>
      <c r="H179" s="55">
        <f t="shared" si="16"/>
        <v>31.725709999999999</v>
      </c>
      <c r="I179" s="171" t="s">
        <v>544</v>
      </c>
      <c r="J179" s="100">
        <f>31725.71/1000</f>
        <v>31.725709999999999</v>
      </c>
    </row>
    <row r="180" spans="1:12" s="3" customFormat="1" ht="15.75" thickBot="1" x14ac:dyDescent="0.3">
      <c r="A180" s="62" t="s">
        <v>16</v>
      </c>
      <c r="B180" s="101"/>
      <c r="C180" s="102"/>
      <c r="D180" s="94"/>
      <c r="E180" s="103">
        <f>SUM(E9:E179)</f>
        <v>77391.326131999987</v>
      </c>
      <c r="F180" s="103"/>
      <c r="G180" s="103">
        <f>SUM(G9:G179)</f>
        <v>77391.326131999987</v>
      </c>
      <c r="H180" s="103">
        <f>SUM(H9:H179)</f>
        <v>100731.62659319994</v>
      </c>
      <c r="I180" s="103"/>
      <c r="J180" s="104">
        <f>SUM(J9:J179)</f>
        <v>100731.62659319994</v>
      </c>
    </row>
    <row r="181" spans="1:12" s="3" customFormat="1" ht="30.75" thickBot="1" x14ac:dyDescent="0.3">
      <c r="A181" s="63" t="s">
        <v>17</v>
      </c>
      <c r="B181" s="105"/>
      <c r="C181" s="105"/>
      <c r="D181" s="105"/>
      <c r="E181" s="103">
        <f>G181</f>
        <v>6419.3037380250025</v>
      </c>
      <c r="F181" s="94"/>
      <c r="G181" s="103">
        <f>713.255970891667*9</f>
        <v>6419.3037380250025</v>
      </c>
      <c r="H181" s="103">
        <f>J181</f>
        <v>6419.3037380250025</v>
      </c>
      <c r="I181" s="94"/>
      <c r="J181" s="104">
        <f>713.255970891667*9</f>
        <v>6419.3037380250025</v>
      </c>
      <c r="K181" s="3">
        <v>713.25597089166661</v>
      </c>
      <c r="L181" s="3">
        <v>713.25597089166661</v>
      </c>
    </row>
    <row r="182" spans="1:12" s="3" customFormat="1" ht="30.75" thickBot="1" x14ac:dyDescent="0.3">
      <c r="A182" s="63" t="s">
        <v>18</v>
      </c>
      <c r="B182" s="105"/>
      <c r="C182" s="105"/>
      <c r="D182" s="105"/>
      <c r="E182" s="103">
        <f>E180+E181</f>
        <v>83810.62987002499</v>
      </c>
      <c r="F182" s="94"/>
      <c r="G182" s="103">
        <f>G180+G181</f>
        <v>83810.62987002499</v>
      </c>
      <c r="H182" s="103">
        <f>H180+H181</f>
        <v>107150.93033122494</v>
      </c>
      <c r="I182" s="94"/>
      <c r="J182" s="104">
        <f>J180+J181</f>
        <v>107150.93033122494</v>
      </c>
      <c r="K182" s="11">
        <f>SUM(K9:K181)</f>
        <v>10685.047850891668</v>
      </c>
      <c r="L182" s="3">
        <f>SUM(L9:L181)</f>
        <v>2730.0739108916669</v>
      </c>
    </row>
    <row r="183" spans="1:12" s="3" customFormat="1" ht="15.75" thickBot="1" x14ac:dyDescent="0.3">
      <c r="A183" s="64" t="s">
        <v>19</v>
      </c>
      <c r="B183" s="105"/>
      <c r="C183" s="105"/>
      <c r="D183" s="105"/>
      <c r="E183" s="106"/>
      <c r="F183" s="107"/>
      <c r="G183" s="107"/>
      <c r="H183" s="107"/>
      <c r="I183" s="107"/>
      <c r="J183" s="108"/>
      <c r="K183" s="3">
        <v>10685.047850891668</v>
      </c>
      <c r="L183" s="11"/>
    </row>
    <row r="184" spans="1:12" s="3" customFormat="1" ht="32.25" customHeight="1" x14ac:dyDescent="0.25">
      <c r="A184" s="220" t="s">
        <v>20</v>
      </c>
      <c r="B184" s="50" t="s">
        <v>22</v>
      </c>
      <c r="C184" s="50" t="s">
        <v>70</v>
      </c>
      <c r="D184" s="50">
        <f>30668.87/1000</f>
        <v>30.668869999999998</v>
      </c>
      <c r="E184" s="15">
        <f>G184</f>
        <v>30.668869999999998</v>
      </c>
      <c r="F184" s="54" t="s">
        <v>277</v>
      </c>
      <c r="G184" s="15">
        <v>30.668869999999998</v>
      </c>
      <c r="H184" s="199"/>
      <c r="I184" s="54"/>
      <c r="J184" s="207"/>
      <c r="K184" s="11">
        <f>E184</f>
        <v>30.668869999999998</v>
      </c>
    </row>
    <row r="185" spans="1:12" s="3" customFormat="1" ht="79.5" customHeight="1" x14ac:dyDescent="0.25">
      <c r="A185" s="220"/>
      <c r="B185" s="50" t="s">
        <v>59</v>
      </c>
      <c r="C185" s="50" t="s">
        <v>60</v>
      </c>
      <c r="D185" s="14">
        <v>742.8</v>
      </c>
      <c r="E185" s="14">
        <v>742.8</v>
      </c>
      <c r="F185" s="47" t="s">
        <v>278</v>
      </c>
      <c r="G185" s="14">
        <f>E185</f>
        <v>742.8</v>
      </c>
      <c r="H185" s="203"/>
      <c r="I185" s="47"/>
      <c r="J185" s="209"/>
      <c r="K185" s="11">
        <f>E185</f>
        <v>742.8</v>
      </c>
    </row>
    <row r="186" spans="1:12" s="3" customFormat="1" ht="28.5" x14ac:dyDescent="0.25">
      <c r="A186" s="220"/>
      <c r="B186" s="50" t="s">
        <v>21</v>
      </c>
      <c r="C186" s="50" t="s">
        <v>71</v>
      </c>
      <c r="D186" s="14">
        <v>7700</v>
      </c>
      <c r="E186" s="14">
        <v>98.926779999999994</v>
      </c>
      <c r="F186" s="47" t="s">
        <v>279</v>
      </c>
      <c r="G186" s="14">
        <f>E186</f>
        <v>98.926779999999994</v>
      </c>
      <c r="H186" s="203"/>
      <c r="I186" s="47"/>
      <c r="J186" s="209"/>
      <c r="L186" s="11">
        <f>G186</f>
        <v>98.926779999999994</v>
      </c>
    </row>
    <row r="187" spans="1:12" s="3" customFormat="1" ht="37.5" customHeight="1" x14ac:dyDescent="0.25">
      <c r="A187" s="220"/>
      <c r="B187" s="50" t="s">
        <v>22</v>
      </c>
      <c r="C187" s="50" t="s">
        <v>358</v>
      </c>
      <c r="D187" s="14"/>
      <c r="E187" s="14">
        <f>G187</f>
        <v>334.57506000000001</v>
      </c>
      <c r="F187" s="47" t="s">
        <v>359</v>
      </c>
      <c r="G187" s="14">
        <f>334575.06/1000</f>
        <v>334.57506000000001</v>
      </c>
      <c r="H187" s="203"/>
      <c r="I187" s="47"/>
      <c r="J187" s="209"/>
      <c r="L187" s="11"/>
    </row>
    <row r="188" spans="1:12" s="3" customFormat="1" ht="37.5" customHeight="1" x14ac:dyDescent="0.25">
      <c r="A188" s="220"/>
      <c r="B188" s="109" t="s">
        <v>553</v>
      </c>
      <c r="C188" s="109" t="s">
        <v>554</v>
      </c>
      <c r="D188" s="110"/>
      <c r="E188" s="110">
        <f>+G188</f>
        <v>893.69465000000002</v>
      </c>
      <c r="F188" s="47" t="s">
        <v>555</v>
      </c>
      <c r="G188" s="14">
        <f>893694.65/1000</f>
        <v>893.69465000000002</v>
      </c>
      <c r="H188" s="110"/>
      <c r="I188" s="111"/>
      <c r="J188" s="112"/>
      <c r="L188" s="11"/>
    </row>
    <row r="189" spans="1:12" s="3" customFormat="1" ht="15" customHeight="1" x14ac:dyDescent="0.25">
      <c r="A189" s="220"/>
      <c r="B189" s="223" t="s">
        <v>72</v>
      </c>
      <c r="C189" s="223"/>
      <c r="D189" s="47" t="s">
        <v>13</v>
      </c>
      <c r="E189" s="14">
        <f>G189</f>
        <v>369.99197999999996</v>
      </c>
      <c r="F189" s="50" t="s">
        <v>13</v>
      </c>
      <c r="G189" s="14">
        <f>369991.98/1000</f>
        <v>369.99197999999996</v>
      </c>
      <c r="H189" s="203">
        <f>J189</f>
        <v>369.99198000000001</v>
      </c>
      <c r="I189" s="50" t="s">
        <v>13</v>
      </c>
      <c r="J189" s="209">
        <v>369.99198000000001</v>
      </c>
      <c r="K189" s="11">
        <f>E189</f>
        <v>369.99197999999996</v>
      </c>
    </row>
    <row r="190" spans="1:12" s="3" customFormat="1" ht="15" customHeight="1" x14ac:dyDescent="0.25">
      <c r="A190" s="220"/>
      <c r="B190" s="223" t="s">
        <v>73</v>
      </c>
      <c r="C190" s="223"/>
      <c r="D190" s="47" t="s">
        <v>13</v>
      </c>
      <c r="E190" s="14">
        <f t="shared" ref="E190:E194" si="17">G190</f>
        <v>273.91406000000001</v>
      </c>
      <c r="F190" s="50" t="s">
        <v>13</v>
      </c>
      <c r="G190" s="14">
        <v>273.91406000000001</v>
      </c>
      <c r="H190" s="203">
        <f t="shared" ref="H190:H194" si="18">J190</f>
        <v>273.91406000000001</v>
      </c>
      <c r="I190" s="50" t="s">
        <v>13</v>
      </c>
      <c r="J190" s="209">
        <v>273.91406000000001</v>
      </c>
      <c r="L190" s="11">
        <f>G190</f>
        <v>273.91406000000001</v>
      </c>
    </row>
    <row r="191" spans="1:12" s="3" customFormat="1" ht="15" customHeight="1" x14ac:dyDescent="0.25">
      <c r="A191" s="220"/>
      <c r="B191" s="223" t="s">
        <v>137</v>
      </c>
      <c r="C191" s="223"/>
      <c r="D191" s="47" t="s">
        <v>13</v>
      </c>
      <c r="E191" s="14">
        <f t="shared" si="17"/>
        <v>340.16266000000002</v>
      </c>
      <c r="F191" s="50" t="s">
        <v>13</v>
      </c>
      <c r="G191" s="14">
        <v>340.16266000000002</v>
      </c>
      <c r="H191" s="203">
        <f t="shared" si="18"/>
        <v>340.16266000000002</v>
      </c>
      <c r="I191" s="50" t="s">
        <v>13</v>
      </c>
      <c r="J191" s="209">
        <v>340.16266000000002</v>
      </c>
      <c r="L191" s="11"/>
    </row>
    <row r="192" spans="1:12" s="3" customFormat="1" ht="15.75" customHeight="1" x14ac:dyDescent="0.25">
      <c r="A192" s="220"/>
      <c r="B192" s="223" t="s">
        <v>223</v>
      </c>
      <c r="C192" s="223"/>
      <c r="D192" s="47" t="s">
        <v>13</v>
      </c>
      <c r="E192" s="14">
        <f t="shared" si="17"/>
        <v>457.75364000000002</v>
      </c>
      <c r="F192" s="50" t="s">
        <v>13</v>
      </c>
      <c r="G192" s="14">
        <f>457753.64/1000</f>
        <v>457.75364000000002</v>
      </c>
      <c r="H192" s="203">
        <f t="shared" si="18"/>
        <v>457.75364000000002</v>
      </c>
      <c r="I192" s="52" t="s">
        <v>13</v>
      </c>
      <c r="J192" s="207">
        <f>457753.64/1000</f>
        <v>457.75364000000002</v>
      </c>
      <c r="L192" s="11"/>
    </row>
    <row r="193" spans="1:14" s="3" customFormat="1" ht="15.75" customHeight="1" x14ac:dyDescent="0.25">
      <c r="A193" s="220"/>
      <c r="B193" s="223" t="s">
        <v>258</v>
      </c>
      <c r="C193" s="223"/>
      <c r="D193" s="47" t="s">
        <v>13</v>
      </c>
      <c r="E193" s="14">
        <f t="shared" si="17"/>
        <v>591.2331999999999</v>
      </c>
      <c r="F193" s="50" t="s">
        <v>13</v>
      </c>
      <c r="G193" s="14">
        <f>591233.2/1000</f>
        <v>591.2331999999999</v>
      </c>
      <c r="H193" s="203">
        <f t="shared" si="18"/>
        <v>591.2331999999999</v>
      </c>
      <c r="I193" s="52" t="s">
        <v>13</v>
      </c>
      <c r="J193" s="207">
        <f>591233.2/1000</f>
        <v>591.2331999999999</v>
      </c>
      <c r="L193" s="11"/>
    </row>
    <row r="194" spans="1:14" s="3" customFormat="1" ht="21" customHeight="1" thickBot="1" x14ac:dyDescent="0.3">
      <c r="A194" s="221"/>
      <c r="B194" s="223" t="s">
        <v>350</v>
      </c>
      <c r="C194" s="223"/>
      <c r="D194" s="35" t="s">
        <v>13</v>
      </c>
      <c r="E194" s="33">
        <f t="shared" si="17"/>
        <v>-489.14618999999999</v>
      </c>
      <c r="F194" s="52" t="s">
        <v>13</v>
      </c>
      <c r="G194" s="15">
        <v>-489.14618999999999</v>
      </c>
      <c r="H194" s="202">
        <f t="shared" si="18"/>
        <v>-489.14618999999999</v>
      </c>
      <c r="I194" s="52" t="s">
        <v>13</v>
      </c>
      <c r="J194" s="207">
        <v>-489.14618999999999</v>
      </c>
    </row>
    <row r="195" spans="1:14" s="3" customFormat="1" ht="28.5" customHeight="1" x14ac:dyDescent="0.25">
      <c r="A195" s="233" t="s">
        <v>47</v>
      </c>
      <c r="B195" s="113" t="s">
        <v>80</v>
      </c>
      <c r="C195" s="38" t="s">
        <v>79</v>
      </c>
      <c r="D195" s="39">
        <v>66177.229590000003</v>
      </c>
      <c r="E195" s="39">
        <v>39706.337399999997</v>
      </c>
      <c r="F195" s="39" t="s">
        <v>280</v>
      </c>
      <c r="G195" s="39">
        <f>E195</f>
        <v>39706.337399999997</v>
      </c>
      <c r="H195" s="114"/>
      <c r="I195" s="40"/>
      <c r="J195" s="41"/>
      <c r="K195" s="11">
        <f>E195</f>
        <v>39706.337399999997</v>
      </c>
    </row>
    <row r="196" spans="1:14" s="3" customFormat="1" ht="28.5" x14ac:dyDescent="0.25">
      <c r="A196" s="222"/>
      <c r="B196" s="236" t="s">
        <v>81</v>
      </c>
      <c r="C196" s="236" t="s">
        <v>58</v>
      </c>
      <c r="D196" s="239">
        <v>347.226</v>
      </c>
      <c r="E196" s="49">
        <v>35.225999999999999</v>
      </c>
      <c r="F196" s="16" t="s">
        <v>281</v>
      </c>
      <c r="G196" s="49">
        <f>E196</f>
        <v>35.225999999999999</v>
      </c>
      <c r="H196" s="200">
        <v>78</v>
      </c>
      <c r="I196" s="16" t="s">
        <v>169</v>
      </c>
      <c r="J196" s="206">
        <f t="shared" ref="J196:J197" si="19">H196</f>
        <v>78</v>
      </c>
      <c r="K196" s="5">
        <f>E196</f>
        <v>35.225999999999999</v>
      </c>
    </row>
    <row r="197" spans="1:14" s="3" customFormat="1" ht="28.5" x14ac:dyDescent="0.25">
      <c r="A197" s="222"/>
      <c r="B197" s="237"/>
      <c r="C197" s="237"/>
      <c r="D197" s="240"/>
      <c r="E197" s="14">
        <v>78</v>
      </c>
      <c r="F197" s="16" t="s">
        <v>282</v>
      </c>
      <c r="G197" s="49">
        <f t="shared" ref="G197" si="20">E197</f>
        <v>78</v>
      </c>
      <c r="H197" s="200">
        <f>66.10169*1.18</f>
        <v>77.999994200000003</v>
      </c>
      <c r="I197" s="16" t="s">
        <v>171</v>
      </c>
      <c r="J197" s="206">
        <f t="shared" si="19"/>
        <v>77.999994200000003</v>
      </c>
      <c r="K197" s="5"/>
      <c r="L197" s="7">
        <f>G197</f>
        <v>78</v>
      </c>
    </row>
    <row r="198" spans="1:14" s="3" customFormat="1" ht="28.5" x14ac:dyDescent="0.25">
      <c r="A198" s="222"/>
      <c r="B198" s="237"/>
      <c r="C198" s="237"/>
      <c r="D198" s="240"/>
      <c r="E198" s="14">
        <v>78</v>
      </c>
      <c r="F198" s="14" t="s">
        <v>142</v>
      </c>
      <c r="G198" s="21">
        <v>78</v>
      </c>
      <c r="H198" s="21">
        <f>66.10169*1.18</f>
        <v>77.999994200000003</v>
      </c>
      <c r="I198" s="14" t="s">
        <v>170</v>
      </c>
      <c r="J198" s="209">
        <f>H198</f>
        <v>77.999994200000003</v>
      </c>
      <c r="K198" s="5"/>
    </row>
    <row r="199" spans="1:14" s="3" customFormat="1" ht="42.75" customHeight="1" x14ac:dyDescent="0.25">
      <c r="A199" s="222"/>
      <c r="B199" s="237"/>
      <c r="C199" s="237"/>
      <c r="D199" s="240"/>
      <c r="E199" s="14">
        <v>78</v>
      </c>
      <c r="F199" s="14" t="s">
        <v>226</v>
      </c>
      <c r="G199" s="21">
        <v>78</v>
      </c>
      <c r="H199" s="21">
        <v>78</v>
      </c>
      <c r="I199" s="181" t="s">
        <v>641</v>
      </c>
      <c r="J199" s="209">
        <v>78</v>
      </c>
      <c r="K199" s="7">
        <f>E199</f>
        <v>78</v>
      </c>
    </row>
    <row r="200" spans="1:14" s="3" customFormat="1" ht="28.5" x14ac:dyDescent="0.25">
      <c r="A200" s="222"/>
      <c r="B200" s="238"/>
      <c r="C200" s="238"/>
      <c r="D200" s="241"/>
      <c r="E200" s="14">
        <f>G200</f>
        <v>78</v>
      </c>
      <c r="F200" s="14" t="s">
        <v>360</v>
      </c>
      <c r="G200" s="21">
        <v>78</v>
      </c>
      <c r="H200" s="21"/>
      <c r="I200" s="14"/>
      <c r="J200" s="209"/>
      <c r="L200" s="7">
        <f>G200</f>
        <v>78</v>
      </c>
    </row>
    <row r="201" spans="1:14" s="3" customFormat="1" ht="28.5" x14ac:dyDescent="0.25">
      <c r="A201" s="222"/>
      <c r="B201" s="242" t="s">
        <v>22</v>
      </c>
      <c r="C201" s="236" t="s">
        <v>61</v>
      </c>
      <c r="D201" s="244" t="s">
        <v>85</v>
      </c>
      <c r="E201" s="244">
        <f>70.33036+G202+G203+G205+G204</f>
        <v>421.98215999999996</v>
      </c>
      <c r="F201" s="32" t="s">
        <v>283</v>
      </c>
      <c r="G201" s="115">
        <v>70.330359999999999</v>
      </c>
      <c r="H201" s="244">
        <f>J201+J202+J203</f>
        <v>210.99108000000001</v>
      </c>
      <c r="I201" s="32" t="s">
        <v>158</v>
      </c>
      <c r="J201" s="116">
        <v>70.330359999999999</v>
      </c>
      <c r="L201" s="7"/>
    </row>
    <row r="202" spans="1:14" s="3" customFormat="1" ht="28.5" x14ac:dyDescent="0.25">
      <c r="A202" s="222"/>
      <c r="B202" s="242"/>
      <c r="C202" s="237"/>
      <c r="D202" s="245"/>
      <c r="E202" s="245"/>
      <c r="F202" s="16" t="s">
        <v>284</v>
      </c>
      <c r="G202" s="49">
        <v>70.330359999999999</v>
      </c>
      <c r="H202" s="245"/>
      <c r="I202" s="16" t="s">
        <v>157</v>
      </c>
      <c r="J202" s="206">
        <f>59602*1.18/1000</f>
        <v>70.330359999999999</v>
      </c>
      <c r="L202" s="7"/>
    </row>
    <row r="203" spans="1:14" s="3" customFormat="1" ht="33.75" customHeight="1" x14ac:dyDescent="0.25">
      <c r="A203" s="222"/>
      <c r="B203" s="242"/>
      <c r="C203" s="237"/>
      <c r="D203" s="245"/>
      <c r="E203" s="245"/>
      <c r="F203" s="16" t="s">
        <v>143</v>
      </c>
      <c r="G203" s="49">
        <v>70.330359999999999</v>
      </c>
      <c r="H203" s="246"/>
      <c r="I203" s="16" t="s">
        <v>159</v>
      </c>
      <c r="J203" s="206">
        <v>70.330359999999999</v>
      </c>
    </row>
    <row r="204" spans="1:14" s="3" customFormat="1" ht="34.5" customHeight="1" x14ac:dyDescent="0.25">
      <c r="A204" s="222"/>
      <c r="B204" s="242"/>
      <c r="C204" s="237"/>
      <c r="D204" s="245"/>
      <c r="E204" s="245"/>
      <c r="F204" s="14" t="s">
        <v>227</v>
      </c>
      <c r="G204" s="49">
        <v>70.330359999999999</v>
      </c>
      <c r="H204" s="200">
        <f>J204</f>
        <v>70.330359999999999</v>
      </c>
      <c r="I204" s="16" t="s">
        <v>399</v>
      </c>
      <c r="J204" s="206">
        <v>70.330359999999999</v>
      </c>
      <c r="K204" s="7">
        <f>G204</f>
        <v>70.330359999999999</v>
      </c>
      <c r="N204" s="7"/>
    </row>
    <row r="205" spans="1:14" s="3" customFormat="1" ht="34.5" customHeight="1" x14ac:dyDescent="0.25">
      <c r="A205" s="222"/>
      <c r="B205" s="242"/>
      <c r="C205" s="237"/>
      <c r="D205" s="245"/>
      <c r="E205" s="246"/>
      <c r="F205" s="14" t="s">
        <v>332</v>
      </c>
      <c r="G205" s="21">
        <f>140660.72/1000</f>
        <v>140.66072</v>
      </c>
      <c r="H205" s="21">
        <v>140.66072</v>
      </c>
      <c r="I205" s="14" t="s">
        <v>400</v>
      </c>
      <c r="J205" s="203">
        <v>140.66072</v>
      </c>
      <c r="K205" s="7"/>
      <c r="N205" s="7"/>
    </row>
    <row r="206" spans="1:14" s="3" customFormat="1" ht="39" customHeight="1" x14ac:dyDescent="0.25">
      <c r="A206" s="222"/>
      <c r="B206" s="242"/>
      <c r="C206" s="237"/>
      <c r="D206" s="245"/>
      <c r="E206" s="21">
        <f>+G206</f>
        <v>70.330359999999999</v>
      </c>
      <c r="F206" s="14" t="s">
        <v>477</v>
      </c>
      <c r="G206" s="21">
        <f>70330.36/1000</f>
        <v>70.330359999999999</v>
      </c>
      <c r="H206" s="21">
        <f>+J206</f>
        <v>70.330359999999999</v>
      </c>
      <c r="I206" s="181" t="s">
        <v>602</v>
      </c>
      <c r="J206" s="203">
        <f>59602*1.18/1000</f>
        <v>70.330359999999999</v>
      </c>
      <c r="K206" s="7"/>
      <c r="N206" s="7"/>
    </row>
    <row r="207" spans="1:14" s="3" customFormat="1" ht="39" customHeight="1" x14ac:dyDescent="0.25">
      <c r="A207" s="222"/>
      <c r="B207" s="242"/>
      <c r="C207" s="237"/>
      <c r="D207" s="245"/>
      <c r="E207" s="117">
        <f>+G207</f>
        <v>70.330359999999999</v>
      </c>
      <c r="F207" s="14" t="s">
        <v>530</v>
      </c>
      <c r="G207" s="21">
        <f>70330.36/1000</f>
        <v>70.330359999999999</v>
      </c>
      <c r="H207" s="21">
        <f>+J207</f>
        <v>70.330359999999999</v>
      </c>
      <c r="I207" s="181" t="s">
        <v>601</v>
      </c>
      <c r="J207" s="203">
        <f>59602*1.18/1000</f>
        <v>70.330359999999999</v>
      </c>
      <c r="K207" s="7"/>
      <c r="N207" s="7"/>
    </row>
    <row r="208" spans="1:14" s="3" customFormat="1" ht="32.25" customHeight="1" x14ac:dyDescent="0.25">
      <c r="A208" s="222"/>
      <c r="B208" s="243"/>
      <c r="C208" s="238"/>
      <c r="D208" s="246"/>
      <c r="E208" s="117">
        <f>+G208</f>
        <v>70.330359999999999</v>
      </c>
      <c r="F208" s="56" t="s">
        <v>529</v>
      </c>
      <c r="G208" s="55">
        <f>70330.36/1000</f>
        <v>70.330359999999999</v>
      </c>
      <c r="H208" s="55">
        <f>+J208</f>
        <v>70.330359999999999</v>
      </c>
      <c r="I208" s="192" t="s">
        <v>603</v>
      </c>
      <c r="J208" s="55">
        <f>59602*1.18/1000</f>
        <v>70.330359999999999</v>
      </c>
    </row>
    <row r="209" spans="1:14" s="3" customFormat="1" ht="28.5" x14ac:dyDescent="0.25">
      <c r="A209" s="222"/>
      <c r="B209" s="236" t="s">
        <v>48</v>
      </c>
      <c r="C209" s="236" t="s">
        <v>95</v>
      </c>
      <c r="D209" s="244"/>
      <c r="E209" s="14">
        <v>36364.387674199999</v>
      </c>
      <c r="F209" s="14" t="s">
        <v>285</v>
      </c>
      <c r="G209" s="14">
        <f t="shared" ref="G209" si="21">E209</f>
        <v>36364.387674199999</v>
      </c>
      <c r="H209" s="244">
        <f>J209+J210+J211</f>
        <v>610.29349839999998</v>
      </c>
      <c r="I209" s="239" t="s">
        <v>145</v>
      </c>
      <c r="J209" s="206">
        <f>283085.29*1.18/1000</f>
        <v>334.04064219999992</v>
      </c>
    </row>
    <row r="210" spans="1:14" s="3" customFormat="1" ht="42.75" x14ac:dyDescent="0.25">
      <c r="A210" s="222"/>
      <c r="B210" s="237"/>
      <c r="C210" s="237"/>
      <c r="D210" s="245"/>
      <c r="E210" s="14">
        <f t="shared" ref="E210:E216" si="22">G210</f>
        <v>2696.6588852</v>
      </c>
      <c r="F210" s="52" t="s">
        <v>273</v>
      </c>
      <c r="G210" s="14">
        <f>2285304.14*1.18/1000</f>
        <v>2696.6588852</v>
      </c>
      <c r="H210" s="245"/>
      <c r="I210" s="240"/>
      <c r="J210" s="206">
        <f>53873.17*1.18/1000</f>
        <v>63.570340599999994</v>
      </c>
    </row>
    <row r="211" spans="1:14" s="3" customFormat="1" ht="42.75" x14ac:dyDescent="0.25">
      <c r="A211" s="222"/>
      <c r="B211" s="237"/>
      <c r="C211" s="237"/>
      <c r="D211" s="245"/>
      <c r="E211" s="14">
        <f t="shared" si="22"/>
        <v>63.570340599999994</v>
      </c>
      <c r="F211" s="50" t="s">
        <v>265</v>
      </c>
      <c r="G211" s="14">
        <f>53873.17*1.18/1000</f>
        <v>63.570340599999994</v>
      </c>
      <c r="H211" s="246"/>
      <c r="I211" s="241"/>
      <c r="J211" s="206">
        <f>180239.42*1.18/1000</f>
        <v>212.68251560000002</v>
      </c>
    </row>
    <row r="212" spans="1:14" s="3" customFormat="1" ht="42.75" x14ac:dyDescent="0.25">
      <c r="A212" s="222"/>
      <c r="B212" s="237"/>
      <c r="C212" s="237"/>
      <c r="D212" s="245"/>
      <c r="E212" s="14">
        <f t="shared" si="22"/>
        <v>334.04064219999992</v>
      </c>
      <c r="F212" s="32" t="s">
        <v>265</v>
      </c>
      <c r="G212" s="14">
        <f>283085.29*1.18/1000</f>
        <v>334.04064219999992</v>
      </c>
      <c r="H212" s="244">
        <f>J212+J213+J214</f>
        <v>642.86086119999993</v>
      </c>
      <c r="I212" s="14" t="s">
        <v>401</v>
      </c>
      <c r="J212" s="206">
        <f>257268.41*1.18/1000</f>
        <v>303.57672379999997</v>
      </c>
    </row>
    <row r="213" spans="1:14" s="3" customFormat="1" ht="27" customHeight="1" x14ac:dyDescent="0.25">
      <c r="A213" s="222"/>
      <c r="B213" s="237"/>
      <c r="C213" s="237"/>
      <c r="D213" s="245"/>
      <c r="E213" s="14">
        <f t="shared" si="22"/>
        <v>212.68251560000002</v>
      </c>
      <c r="F213" s="16" t="s">
        <v>265</v>
      </c>
      <c r="G213" s="14">
        <f>180239.42*1.18/1000</f>
        <v>212.68251560000002</v>
      </c>
      <c r="H213" s="245"/>
      <c r="I213" s="14" t="s">
        <v>402</v>
      </c>
      <c r="J213" s="206">
        <f>255379.94*1.18/1000</f>
        <v>301.34832919999997</v>
      </c>
      <c r="K213" s="9"/>
      <c r="L213" s="7"/>
    </row>
    <row r="214" spans="1:14" s="3" customFormat="1" ht="28.5" x14ac:dyDescent="0.25">
      <c r="A214" s="222"/>
      <c r="B214" s="237"/>
      <c r="C214" s="237"/>
      <c r="D214" s="245"/>
      <c r="E214" s="14">
        <f t="shared" si="22"/>
        <v>5242.8518639999993</v>
      </c>
      <c r="F214" s="16"/>
      <c r="G214" s="14">
        <f>4443094.8*1.18/1000</f>
        <v>5242.8518639999993</v>
      </c>
      <c r="H214" s="246"/>
      <c r="I214" s="14" t="s">
        <v>402</v>
      </c>
      <c r="J214" s="206">
        <f>32148.99*1.18/1000</f>
        <v>37.935808199999997</v>
      </c>
    </row>
    <row r="215" spans="1:14" s="3" customFormat="1" x14ac:dyDescent="0.25">
      <c r="A215" s="222"/>
      <c r="B215" s="237"/>
      <c r="C215" s="237"/>
      <c r="D215" s="245"/>
      <c r="E215" s="14">
        <f t="shared" si="22"/>
        <v>320.66747799999996</v>
      </c>
      <c r="F215" s="16"/>
      <c r="G215" s="49">
        <f>271752.1*1.18/1000</f>
        <v>320.66747799999996</v>
      </c>
      <c r="H215" s="244">
        <f>J215+J216</f>
        <v>4599.9910027999995</v>
      </c>
      <c r="I215" s="239" t="s">
        <v>163</v>
      </c>
      <c r="J215" s="206">
        <f>1782443.22*1.18/1000</f>
        <v>2103.2829995999996</v>
      </c>
      <c r="N215" s="7"/>
    </row>
    <row r="216" spans="1:14" s="3" customFormat="1" x14ac:dyDescent="0.25">
      <c r="A216" s="222"/>
      <c r="B216" s="237"/>
      <c r="C216" s="237"/>
      <c r="D216" s="245"/>
      <c r="E216" s="14">
        <f t="shared" si="22"/>
        <v>503.41132859999999</v>
      </c>
      <c r="F216" s="16"/>
      <c r="G216" s="49">
        <f>426619.77*1.18/1000</f>
        <v>503.41132859999999</v>
      </c>
      <c r="H216" s="246"/>
      <c r="I216" s="241"/>
      <c r="J216" s="206">
        <f>2115854.24*1.18/1000</f>
        <v>2496.7080032000003</v>
      </c>
    </row>
    <row r="217" spans="1:14" s="3" customFormat="1" x14ac:dyDescent="0.25">
      <c r="A217" s="222"/>
      <c r="B217" s="237"/>
      <c r="C217" s="237"/>
      <c r="D217" s="245"/>
      <c r="E217" s="14"/>
      <c r="F217" s="16"/>
      <c r="G217" s="49"/>
      <c r="H217" s="244">
        <f>J217+J218+J219+J220</f>
        <v>503.41132859999993</v>
      </c>
      <c r="I217" s="239" t="s">
        <v>370</v>
      </c>
      <c r="J217" s="206">
        <f>401507.91*1.18/1000</f>
        <v>473.77933379999996</v>
      </c>
    </row>
    <row r="218" spans="1:14" s="3" customFormat="1" x14ac:dyDescent="0.25">
      <c r="A218" s="222"/>
      <c r="B218" s="237"/>
      <c r="C218" s="237"/>
      <c r="D218" s="245"/>
      <c r="E218" s="14"/>
      <c r="F218" s="16"/>
      <c r="G218" s="49"/>
      <c r="H218" s="245"/>
      <c r="I218" s="240"/>
      <c r="J218" s="206">
        <f>1898.02*1.18/1000</f>
        <v>2.2396635999999996</v>
      </c>
    </row>
    <row r="219" spans="1:14" s="3" customFormat="1" x14ac:dyDescent="0.25">
      <c r="A219" s="222"/>
      <c r="B219" s="237"/>
      <c r="C219" s="237"/>
      <c r="D219" s="245"/>
      <c r="E219" s="14"/>
      <c r="F219" s="16"/>
      <c r="G219" s="49"/>
      <c r="H219" s="245"/>
      <c r="I219" s="240"/>
      <c r="J219" s="206">
        <f>11606.92*1.18/1000</f>
        <v>13.6961656</v>
      </c>
    </row>
    <row r="220" spans="1:14" s="3" customFormat="1" x14ac:dyDescent="0.25">
      <c r="A220" s="222"/>
      <c r="B220" s="237"/>
      <c r="C220" s="237"/>
      <c r="D220" s="245"/>
      <c r="E220" s="14"/>
      <c r="F220" s="16"/>
      <c r="G220" s="49"/>
      <c r="H220" s="246"/>
      <c r="I220" s="241"/>
      <c r="J220" s="206">
        <f>11606.92*1.18/1000</f>
        <v>13.6961656</v>
      </c>
    </row>
    <row r="221" spans="1:14" s="3" customFormat="1" x14ac:dyDescent="0.25">
      <c r="A221" s="222"/>
      <c r="B221" s="237"/>
      <c r="C221" s="237"/>
      <c r="D221" s="245"/>
      <c r="E221" s="14"/>
      <c r="F221" s="16"/>
      <c r="G221" s="49"/>
      <c r="H221" s="244">
        <f>J221+J222+J223+J224+J225+J226+J227</f>
        <v>320.66747800000002</v>
      </c>
      <c r="I221" s="244" t="s">
        <v>387</v>
      </c>
      <c r="J221" s="206">
        <f>137302.22*1.18/1000</f>
        <v>162.01661960000001</v>
      </c>
    </row>
    <row r="222" spans="1:14" s="3" customFormat="1" x14ac:dyDescent="0.25">
      <c r="A222" s="222"/>
      <c r="B222" s="237"/>
      <c r="C222" s="237"/>
      <c r="D222" s="245"/>
      <c r="E222" s="14"/>
      <c r="F222" s="16"/>
      <c r="G222" s="49"/>
      <c r="H222" s="245"/>
      <c r="I222" s="245"/>
      <c r="J222" s="206">
        <f>13502.06*1.18/1000</f>
        <v>15.932430799999999</v>
      </c>
    </row>
    <row r="223" spans="1:14" s="3" customFormat="1" x14ac:dyDescent="0.25">
      <c r="A223" s="222"/>
      <c r="B223" s="237"/>
      <c r="C223" s="237"/>
      <c r="D223" s="245"/>
      <c r="E223" s="14"/>
      <c r="F223" s="16"/>
      <c r="G223" s="49"/>
      <c r="H223" s="245"/>
      <c r="I223" s="245"/>
      <c r="J223" s="206">
        <f>6241.87*1.18/1000</f>
        <v>7.3654065999999991</v>
      </c>
    </row>
    <row r="224" spans="1:14" s="3" customFormat="1" x14ac:dyDescent="0.25">
      <c r="A224" s="222"/>
      <c r="B224" s="237"/>
      <c r="C224" s="237"/>
      <c r="D224" s="245"/>
      <c r="E224" s="14"/>
      <c r="F224" s="16"/>
      <c r="G224" s="49"/>
      <c r="H224" s="245"/>
      <c r="I224" s="245"/>
      <c r="J224" s="206">
        <f>25782.34*1.18/1000</f>
        <v>30.423161199999999</v>
      </c>
    </row>
    <row r="225" spans="1:10" s="3" customFormat="1" x14ac:dyDescent="0.25">
      <c r="A225" s="222"/>
      <c r="B225" s="237"/>
      <c r="C225" s="237"/>
      <c r="D225" s="245"/>
      <c r="E225" s="14"/>
      <c r="F225" s="16"/>
      <c r="G225" s="49"/>
      <c r="H225" s="245"/>
      <c r="I225" s="245"/>
      <c r="J225" s="206">
        <f>1966.47*1.18/1000</f>
        <v>2.3204346</v>
      </c>
    </row>
    <row r="226" spans="1:10" s="3" customFormat="1" x14ac:dyDescent="0.25">
      <c r="A226" s="222"/>
      <c r="B226" s="237"/>
      <c r="C226" s="237"/>
      <c r="D226" s="245"/>
      <c r="E226" s="14"/>
      <c r="F226" s="16"/>
      <c r="G226" s="49"/>
      <c r="H226" s="245"/>
      <c r="I226" s="245"/>
      <c r="J226" s="206">
        <f>11867.51*1.18/1000</f>
        <v>14.0036618</v>
      </c>
    </row>
    <row r="227" spans="1:10" s="3" customFormat="1" x14ac:dyDescent="0.25">
      <c r="A227" s="222"/>
      <c r="B227" s="237"/>
      <c r="C227" s="237"/>
      <c r="D227" s="245"/>
      <c r="E227" s="14"/>
      <c r="F227" s="16"/>
      <c r="G227" s="49"/>
      <c r="H227" s="246"/>
      <c r="I227" s="246"/>
      <c r="J227" s="206">
        <f>75089.63*1.18/1000</f>
        <v>88.605763400000001</v>
      </c>
    </row>
    <row r="228" spans="1:10" s="3" customFormat="1" x14ac:dyDescent="0.25">
      <c r="A228" s="222"/>
      <c r="B228" s="237"/>
      <c r="C228" s="237"/>
      <c r="D228" s="245"/>
      <c r="E228" s="14"/>
      <c r="F228" s="16"/>
      <c r="G228" s="49"/>
      <c r="H228" s="244">
        <f>SUM(J228:J263)</f>
        <v>1423.6571497999996</v>
      </c>
      <c r="I228" s="239" t="s">
        <v>373</v>
      </c>
      <c r="J228" s="206">
        <f>4382.84*1.18/1000</f>
        <v>5.1717512000000001</v>
      </c>
    </row>
    <row r="229" spans="1:10" s="3" customFormat="1" x14ac:dyDescent="0.25">
      <c r="A229" s="222"/>
      <c r="B229" s="237"/>
      <c r="C229" s="237"/>
      <c r="D229" s="245"/>
      <c r="E229" s="14"/>
      <c r="F229" s="16"/>
      <c r="G229" s="49"/>
      <c r="H229" s="245"/>
      <c r="I229" s="240"/>
      <c r="J229" s="206">
        <f>4382.84*1.18/1000</f>
        <v>5.1717512000000001</v>
      </c>
    </row>
    <row r="230" spans="1:10" s="3" customFormat="1" x14ac:dyDescent="0.25">
      <c r="A230" s="222"/>
      <c r="B230" s="237"/>
      <c r="C230" s="237"/>
      <c r="D230" s="245"/>
      <c r="E230" s="14"/>
      <c r="F230" s="16"/>
      <c r="G230" s="49"/>
      <c r="H230" s="245"/>
      <c r="I230" s="240"/>
      <c r="J230" s="206">
        <f>4382.84*1.18/1000</f>
        <v>5.1717512000000001</v>
      </c>
    </row>
    <row r="231" spans="1:10" s="3" customFormat="1" x14ac:dyDescent="0.25">
      <c r="A231" s="222"/>
      <c r="B231" s="237"/>
      <c r="C231" s="237"/>
      <c r="D231" s="245"/>
      <c r="E231" s="14"/>
      <c r="F231" s="16"/>
      <c r="G231" s="49"/>
      <c r="H231" s="245"/>
      <c r="I231" s="240"/>
      <c r="J231" s="206">
        <f>863.38*1.18/1000</f>
        <v>1.0187883999999998</v>
      </c>
    </row>
    <row r="232" spans="1:10" s="3" customFormat="1" x14ac:dyDescent="0.25">
      <c r="A232" s="222"/>
      <c r="B232" s="237"/>
      <c r="C232" s="237"/>
      <c r="D232" s="245"/>
      <c r="E232" s="14"/>
      <c r="F232" s="16"/>
      <c r="G232" s="49"/>
      <c r="H232" s="245"/>
      <c r="I232" s="240"/>
      <c r="J232" s="206">
        <f>863.38*1.18/1000</f>
        <v>1.0187883999999998</v>
      </c>
    </row>
    <row r="233" spans="1:10" s="3" customFormat="1" x14ac:dyDescent="0.25">
      <c r="A233" s="222"/>
      <c r="B233" s="237"/>
      <c r="C233" s="237"/>
      <c r="D233" s="245"/>
      <c r="E233" s="14"/>
      <c r="F233" s="16"/>
      <c r="G233" s="49"/>
      <c r="H233" s="245"/>
      <c r="I233" s="240"/>
      <c r="J233" s="206">
        <f>608.67*1.18/1000</f>
        <v>0.71823059999999983</v>
      </c>
    </row>
    <row r="234" spans="1:10" s="3" customFormat="1" x14ac:dyDescent="0.25">
      <c r="A234" s="222"/>
      <c r="B234" s="237"/>
      <c r="C234" s="237"/>
      <c r="D234" s="245"/>
      <c r="E234" s="14"/>
      <c r="F234" s="16"/>
      <c r="G234" s="49"/>
      <c r="H234" s="245"/>
      <c r="I234" s="240"/>
      <c r="J234" s="206">
        <f t="shared" ref="J234:J236" si="23">608.67*1.18/1000</f>
        <v>0.71823059999999983</v>
      </c>
    </row>
    <row r="235" spans="1:10" s="3" customFormat="1" x14ac:dyDescent="0.25">
      <c r="A235" s="222"/>
      <c r="B235" s="237"/>
      <c r="C235" s="237"/>
      <c r="D235" s="245"/>
      <c r="E235" s="14"/>
      <c r="F235" s="16"/>
      <c r="G235" s="49"/>
      <c r="H235" s="245"/>
      <c r="I235" s="240"/>
      <c r="J235" s="206">
        <f t="shared" si="23"/>
        <v>0.71823059999999983</v>
      </c>
    </row>
    <row r="236" spans="1:10" s="3" customFormat="1" x14ac:dyDescent="0.25">
      <c r="A236" s="222"/>
      <c r="B236" s="237"/>
      <c r="C236" s="237"/>
      <c r="D236" s="245"/>
      <c r="E236" s="14"/>
      <c r="F236" s="16"/>
      <c r="G236" s="49"/>
      <c r="H236" s="245"/>
      <c r="I236" s="240"/>
      <c r="J236" s="206">
        <f t="shared" si="23"/>
        <v>0.71823059999999983</v>
      </c>
    </row>
    <row r="237" spans="1:10" s="3" customFormat="1" x14ac:dyDescent="0.25">
      <c r="A237" s="222"/>
      <c r="B237" s="237"/>
      <c r="C237" s="237"/>
      <c r="D237" s="245"/>
      <c r="E237" s="14"/>
      <c r="F237" s="16"/>
      <c r="G237" s="49"/>
      <c r="H237" s="245"/>
      <c r="I237" s="240"/>
      <c r="J237" s="206">
        <f>15470.53*1.18/1000</f>
        <v>18.2552254</v>
      </c>
    </row>
    <row r="238" spans="1:10" s="3" customFormat="1" x14ac:dyDescent="0.25">
      <c r="A238" s="222"/>
      <c r="B238" s="237"/>
      <c r="C238" s="237"/>
      <c r="D238" s="245"/>
      <c r="E238" s="14"/>
      <c r="F238" s="16"/>
      <c r="G238" s="49"/>
      <c r="H238" s="245"/>
      <c r="I238" s="240"/>
      <c r="J238" s="206">
        <f>15470.53*1.18/1000</f>
        <v>18.2552254</v>
      </c>
    </row>
    <row r="239" spans="1:10" s="3" customFormat="1" x14ac:dyDescent="0.25">
      <c r="A239" s="222"/>
      <c r="B239" s="237"/>
      <c r="C239" s="237"/>
      <c r="D239" s="245"/>
      <c r="E239" s="14"/>
      <c r="F239" s="16"/>
      <c r="G239" s="49"/>
      <c r="H239" s="245"/>
      <c r="I239" s="240"/>
      <c r="J239" s="206">
        <f>17718.85*1.18/1000</f>
        <v>20.908242999999999</v>
      </c>
    </row>
    <row r="240" spans="1:10" s="3" customFormat="1" x14ac:dyDescent="0.25">
      <c r="A240" s="222"/>
      <c r="B240" s="237"/>
      <c r="C240" s="237"/>
      <c r="D240" s="245"/>
      <c r="E240" s="14"/>
      <c r="F240" s="16"/>
      <c r="G240" s="49"/>
      <c r="H240" s="245"/>
      <c r="I240" s="240"/>
      <c r="J240" s="206">
        <f>17718.85*1.18/1000</f>
        <v>20.908242999999999</v>
      </c>
    </row>
    <row r="241" spans="1:10" s="3" customFormat="1" x14ac:dyDescent="0.25">
      <c r="A241" s="222"/>
      <c r="B241" s="237"/>
      <c r="C241" s="237"/>
      <c r="D241" s="245"/>
      <c r="E241" s="14"/>
      <c r="F241" s="16"/>
      <c r="G241" s="49"/>
      <c r="H241" s="245"/>
      <c r="I241" s="240"/>
      <c r="J241" s="206">
        <f>345506.68*1.18/1000</f>
        <v>407.69788239999997</v>
      </c>
    </row>
    <row r="242" spans="1:10" s="3" customFormat="1" x14ac:dyDescent="0.25">
      <c r="A242" s="222"/>
      <c r="B242" s="237"/>
      <c r="C242" s="237"/>
      <c r="D242" s="245"/>
      <c r="E242" s="14"/>
      <c r="F242" s="16"/>
      <c r="G242" s="49"/>
      <c r="H242" s="245"/>
      <c r="I242" s="240"/>
      <c r="J242" s="206">
        <f>8377.69*1.18/1000</f>
        <v>9.8856741999999986</v>
      </c>
    </row>
    <row r="243" spans="1:10" s="3" customFormat="1" x14ac:dyDescent="0.25">
      <c r="A243" s="222"/>
      <c r="B243" s="237"/>
      <c r="C243" s="237"/>
      <c r="D243" s="245"/>
      <c r="E243" s="14"/>
      <c r="F243" s="16"/>
      <c r="G243" s="49"/>
      <c r="H243" s="245"/>
      <c r="I243" s="240"/>
      <c r="J243" s="206">
        <f>10626.54*1.18/1000</f>
        <v>12.539317199999999</v>
      </c>
    </row>
    <row r="244" spans="1:10" s="3" customFormat="1" x14ac:dyDescent="0.25">
      <c r="A244" s="222"/>
      <c r="B244" s="237"/>
      <c r="C244" s="237"/>
      <c r="D244" s="245"/>
      <c r="E244" s="14"/>
      <c r="F244" s="16"/>
      <c r="G244" s="49"/>
      <c r="H244" s="245"/>
      <c r="I244" s="240"/>
      <c r="J244" s="206">
        <f>16878.74*1.18/1000</f>
        <v>19.9169132</v>
      </c>
    </row>
    <row r="245" spans="1:10" s="3" customFormat="1" x14ac:dyDescent="0.25">
      <c r="A245" s="222"/>
      <c r="B245" s="237"/>
      <c r="C245" s="237"/>
      <c r="D245" s="245"/>
      <c r="E245" s="14"/>
      <c r="F245" s="16"/>
      <c r="G245" s="49"/>
      <c r="H245" s="245"/>
      <c r="I245" s="240"/>
      <c r="J245" s="206">
        <f>97319*1.18/1000</f>
        <v>114.83642</v>
      </c>
    </row>
    <row r="246" spans="1:10" s="3" customFormat="1" x14ac:dyDescent="0.25">
      <c r="A246" s="222"/>
      <c r="B246" s="237"/>
      <c r="C246" s="237"/>
      <c r="D246" s="245"/>
      <c r="E246" s="14"/>
      <c r="F246" s="16"/>
      <c r="G246" s="49"/>
      <c r="H246" s="245"/>
      <c r="I246" s="240"/>
      <c r="J246" s="206">
        <f>96908.3*1.18/1000</f>
        <v>114.351794</v>
      </c>
    </row>
    <row r="247" spans="1:10" s="3" customFormat="1" x14ac:dyDescent="0.25">
      <c r="A247" s="222"/>
      <c r="B247" s="237"/>
      <c r="C247" s="237"/>
      <c r="D247" s="245"/>
      <c r="E247" s="14"/>
      <c r="F247" s="16"/>
      <c r="G247" s="49"/>
      <c r="H247" s="245"/>
      <c r="I247" s="240"/>
      <c r="J247" s="206">
        <f>75536.06*1.18/1000</f>
        <v>89.132550800000004</v>
      </c>
    </row>
    <row r="248" spans="1:10" s="3" customFormat="1" x14ac:dyDescent="0.25">
      <c r="A248" s="222"/>
      <c r="B248" s="237"/>
      <c r="C248" s="237"/>
      <c r="D248" s="245"/>
      <c r="E248" s="14"/>
      <c r="F248" s="16"/>
      <c r="G248" s="49"/>
      <c r="H248" s="245"/>
      <c r="I248" s="240"/>
      <c r="J248" s="206">
        <f>33537.39*1.18/1000</f>
        <v>39.574120199999996</v>
      </c>
    </row>
    <row r="249" spans="1:10" s="3" customFormat="1" x14ac:dyDescent="0.25">
      <c r="A249" s="222"/>
      <c r="B249" s="237"/>
      <c r="C249" s="237"/>
      <c r="D249" s="245"/>
      <c r="E249" s="14"/>
      <c r="F249" s="16"/>
      <c r="G249" s="49"/>
      <c r="H249" s="245"/>
      <c r="I249" s="240"/>
      <c r="J249" s="206">
        <f>164394.92*1.18/1000</f>
        <v>193.9860056</v>
      </c>
    </row>
    <row r="250" spans="1:10" s="3" customFormat="1" x14ac:dyDescent="0.25">
      <c r="A250" s="222"/>
      <c r="B250" s="237"/>
      <c r="C250" s="237"/>
      <c r="D250" s="245"/>
      <c r="E250" s="14"/>
      <c r="F250" s="16"/>
      <c r="G250" s="49"/>
      <c r="H250" s="245"/>
      <c r="I250" s="240"/>
      <c r="J250" s="206">
        <f>21304.83*1.18/1000</f>
        <v>25.139699400000001</v>
      </c>
    </row>
    <row r="251" spans="1:10" s="3" customFormat="1" x14ac:dyDescent="0.25">
      <c r="A251" s="222"/>
      <c r="B251" s="237"/>
      <c r="C251" s="237"/>
      <c r="D251" s="245"/>
      <c r="E251" s="14"/>
      <c r="F251" s="16"/>
      <c r="G251" s="49"/>
      <c r="H251" s="245"/>
      <c r="I251" s="240"/>
      <c r="J251" s="206">
        <f>2511.44*1.18/1000</f>
        <v>2.9634991999999998</v>
      </c>
    </row>
    <row r="252" spans="1:10" s="3" customFormat="1" x14ac:dyDescent="0.25">
      <c r="A252" s="222"/>
      <c r="B252" s="237"/>
      <c r="C252" s="237"/>
      <c r="D252" s="245"/>
      <c r="E252" s="14"/>
      <c r="F252" s="16"/>
      <c r="G252" s="49"/>
      <c r="H252" s="245"/>
      <c r="I252" s="240"/>
      <c r="J252" s="206">
        <f>102480.12*1.18/1000</f>
        <v>120.92654159999998</v>
      </c>
    </row>
    <row r="253" spans="1:10" s="3" customFormat="1" x14ac:dyDescent="0.25">
      <c r="A253" s="222"/>
      <c r="B253" s="237"/>
      <c r="C253" s="237"/>
      <c r="D253" s="245"/>
      <c r="E253" s="14"/>
      <c r="F253" s="16"/>
      <c r="G253" s="49"/>
      <c r="H253" s="245"/>
      <c r="I253" s="240"/>
      <c r="J253" s="206">
        <f>2835.65*1.18/1000</f>
        <v>3.3460670000000001</v>
      </c>
    </row>
    <row r="254" spans="1:10" s="3" customFormat="1" x14ac:dyDescent="0.25">
      <c r="A254" s="222"/>
      <c r="B254" s="237"/>
      <c r="C254" s="237"/>
      <c r="D254" s="245"/>
      <c r="E254" s="14"/>
      <c r="F254" s="16"/>
      <c r="G254" s="49"/>
      <c r="H254" s="245"/>
      <c r="I254" s="240"/>
      <c r="J254" s="206">
        <f>2191.22*1.18/1000</f>
        <v>2.5856395999999995</v>
      </c>
    </row>
    <row r="255" spans="1:10" s="3" customFormat="1" x14ac:dyDescent="0.25">
      <c r="A255" s="222"/>
      <c r="B255" s="237"/>
      <c r="C255" s="237"/>
      <c r="D255" s="245"/>
      <c r="E255" s="14"/>
      <c r="F255" s="16"/>
      <c r="G255" s="49"/>
      <c r="H255" s="245"/>
      <c r="I255" s="241"/>
      <c r="J255" s="206">
        <f>8243.15*1.18/1000</f>
        <v>9.7269170000000003</v>
      </c>
    </row>
    <row r="256" spans="1:10" s="3" customFormat="1" x14ac:dyDescent="0.25">
      <c r="A256" s="222"/>
      <c r="B256" s="237"/>
      <c r="C256" s="237"/>
      <c r="D256" s="245"/>
      <c r="E256" s="14"/>
      <c r="F256" s="16"/>
      <c r="G256" s="49"/>
      <c r="H256" s="245"/>
      <c r="I256" s="239" t="s">
        <v>403</v>
      </c>
      <c r="J256" s="206">
        <f>6983.07*1.18/1000</f>
        <v>8.2400225999999979</v>
      </c>
    </row>
    <row r="257" spans="1:12" s="3" customFormat="1" x14ac:dyDescent="0.25">
      <c r="A257" s="222"/>
      <c r="B257" s="237"/>
      <c r="C257" s="237"/>
      <c r="D257" s="245"/>
      <c r="E257" s="14"/>
      <c r="F257" s="16"/>
      <c r="G257" s="49"/>
      <c r="H257" s="245"/>
      <c r="I257" s="240"/>
      <c r="J257" s="206">
        <f t="shared" ref="J257:J259" si="24">6983.07*1.18/1000</f>
        <v>8.2400225999999979</v>
      </c>
    </row>
    <row r="258" spans="1:12" s="3" customFormat="1" x14ac:dyDescent="0.25">
      <c r="A258" s="222"/>
      <c r="B258" s="237"/>
      <c r="C258" s="237"/>
      <c r="D258" s="245"/>
      <c r="E258" s="14"/>
      <c r="F258" s="16"/>
      <c r="G258" s="49"/>
      <c r="H258" s="245"/>
      <c r="I258" s="240"/>
      <c r="J258" s="206">
        <f t="shared" si="24"/>
        <v>8.2400225999999979</v>
      </c>
    </row>
    <row r="259" spans="1:12" s="3" customFormat="1" x14ac:dyDescent="0.25">
      <c r="A259" s="222"/>
      <c r="B259" s="237"/>
      <c r="C259" s="237"/>
      <c r="D259" s="245"/>
      <c r="E259" s="14"/>
      <c r="F259" s="16"/>
      <c r="G259" s="49"/>
      <c r="H259" s="245"/>
      <c r="I259" s="240"/>
      <c r="J259" s="206">
        <f t="shared" si="24"/>
        <v>8.2400225999999979</v>
      </c>
    </row>
    <row r="260" spans="1:12" s="3" customFormat="1" x14ac:dyDescent="0.25">
      <c r="A260" s="222"/>
      <c r="B260" s="237"/>
      <c r="C260" s="237"/>
      <c r="D260" s="245"/>
      <c r="E260" s="14"/>
      <c r="F260" s="16"/>
      <c r="G260" s="49"/>
      <c r="H260" s="245"/>
      <c r="I260" s="240"/>
      <c r="J260" s="206">
        <f>30044.03*1.18/1000</f>
        <v>35.451955399999996</v>
      </c>
    </row>
    <row r="261" spans="1:12" s="3" customFormat="1" x14ac:dyDescent="0.25">
      <c r="A261" s="222"/>
      <c r="B261" s="237"/>
      <c r="C261" s="237"/>
      <c r="D261" s="245"/>
      <c r="E261" s="14"/>
      <c r="F261" s="16"/>
      <c r="G261" s="49"/>
      <c r="H261" s="245"/>
      <c r="I261" s="240"/>
      <c r="J261" s="206">
        <f>30044.03*1.18/1000</f>
        <v>35.451955399999996</v>
      </c>
    </row>
    <row r="262" spans="1:12" s="3" customFormat="1" x14ac:dyDescent="0.25">
      <c r="A262" s="222"/>
      <c r="B262" s="237"/>
      <c r="C262" s="237"/>
      <c r="D262" s="245"/>
      <c r="E262" s="14"/>
      <c r="F262" s="16"/>
      <c r="G262" s="49"/>
      <c r="H262" s="245"/>
      <c r="I262" s="240"/>
      <c r="J262" s="206">
        <f>23064.16*1.18/1000</f>
        <v>27.215708799999998</v>
      </c>
      <c r="L262" s="11">
        <f>G262</f>
        <v>0</v>
      </c>
    </row>
    <row r="263" spans="1:12" s="3" customFormat="1" ht="28.5" x14ac:dyDescent="0.25">
      <c r="A263" s="222"/>
      <c r="B263" s="237"/>
      <c r="C263" s="237"/>
      <c r="D263" s="245"/>
      <c r="E263" s="14">
        <f>+G263</f>
        <v>1423.6571498000001</v>
      </c>
      <c r="F263" s="50" t="s">
        <v>552</v>
      </c>
      <c r="G263" s="49">
        <f>1206489.11*1.18/1000</f>
        <v>1423.6571498000001</v>
      </c>
      <c r="H263" s="246"/>
      <c r="I263" s="241"/>
      <c r="J263" s="206">
        <f>23064.16*1.18/1000</f>
        <v>27.215708799999998</v>
      </c>
    </row>
    <row r="264" spans="1:12" s="3" customFormat="1" x14ac:dyDescent="0.25">
      <c r="A264" s="222"/>
      <c r="B264" s="237"/>
      <c r="C264" s="237"/>
      <c r="D264" s="245"/>
      <c r="E264" s="14"/>
      <c r="F264" s="51"/>
      <c r="G264" s="49"/>
      <c r="H264" s="244">
        <f>+J264+J265+J266+J267+J268+J269</f>
        <v>406.64260839999997</v>
      </c>
      <c r="I264" s="239" t="s">
        <v>630</v>
      </c>
      <c r="J264" s="206">
        <f>806.4*1.18/1000</f>
        <v>0.95155199999999995</v>
      </c>
    </row>
    <row r="265" spans="1:12" s="3" customFormat="1" x14ac:dyDescent="0.25">
      <c r="A265" s="222"/>
      <c r="B265" s="237"/>
      <c r="C265" s="237"/>
      <c r="D265" s="245"/>
      <c r="E265" s="14"/>
      <c r="F265" s="51"/>
      <c r="G265" s="49"/>
      <c r="H265" s="245"/>
      <c r="I265" s="240"/>
      <c r="J265" s="206">
        <f>9050.42*1.18/1000</f>
        <v>10.679495600000001</v>
      </c>
    </row>
    <row r="266" spans="1:12" s="3" customFormat="1" x14ac:dyDescent="0.25">
      <c r="A266" s="222"/>
      <c r="B266" s="237"/>
      <c r="C266" s="237"/>
      <c r="D266" s="245"/>
      <c r="E266" s="14"/>
      <c r="F266" s="51"/>
      <c r="G266" s="49"/>
      <c r="H266" s="245"/>
      <c r="I266" s="240"/>
      <c r="J266" s="206">
        <f>12938.26*1.18/1000</f>
        <v>15.267146799999999</v>
      </c>
    </row>
    <row r="267" spans="1:12" s="3" customFormat="1" x14ac:dyDescent="0.25">
      <c r="A267" s="222"/>
      <c r="B267" s="237"/>
      <c r="C267" s="237"/>
      <c r="D267" s="245"/>
      <c r="E267" s="14"/>
      <c r="F267" s="51"/>
      <c r="G267" s="49"/>
      <c r="H267" s="245"/>
      <c r="I267" s="240"/>
      <c r="J267" s="206">
        <f>12242.67*1.18/1000</f>
        <v>14.446350600000001</v>
      </c>
    </row>
    <row r="268" spans="1:12" s="3" customFormat="1" x14ac:dyDescent="0.25">
      <c r="A268" s="222"/>
      <c r="B268" s="237"/>
      <c r="C268" s="237"/>
      <c r="D268" s="245"/>
      <c r="E268" s="14"/>
      <c r="F268" s="51"/>
      <c r="G268" s="49"/>
      <c r="H268" s="245"/>
      <c r="I268" s="240"/>
      <c r="J268" s="206">
        <f>240189.71*1.18/1000</f>
        <v>283.42385780000001</v>
      </c>
    </row>
    <row r="269" spans="1:12" s="3" customFormat="1" x14ac:dyDescent="0.25">
      <c r="A269" s="222"/>
      <c r="B269" s="237"/>
      <c r="C269" s="237"/>
      <c r="D269" s="245"/>
      <c r="E269" s="14"/>
      <c r="F269" s="51"/>
      <c r="G269" s="49"/>
      <c r="H269" s="246"/>
      <c r="I269" s="241"/>
      <c r="J269" s="206">
        <f>69384.92*1.18/1000</f>
        <v>81.874205599999982</v>
      </c>
    </row>
    <row r="270" spans="1:12" s="3" customFormat="1" x14ac:dyDescent="0.25">
      <c r="A270" s="222"/>
      <c r="B270" s="237"/>
      <c r="C270" s="237"/>
      <c r="D270" s="245"/>
      <c r="E270" s="14"/>
      <c r="F270" s="51"/>
      <c r="G270" s="49"/>
      <c r="H270" s="244">
        <f>+J270+J271+J272+J273+J275+J274+J276+J277+J278</f>
        <v>329.77391560000001</v>
      </c>
      <c r="I270" s="239" t="s">
        <v>632</v>
      </c>
      <c r="J270" s="206">
        <f>9852.76*1.18/1000</f>
        <v>11.626256799999998</v>
      </c>
    </row>
    <row r="271" spans="1:12" s="3" customFormat="1" x14ac:dyDescent="0.25">
      <c r="A271" s="222"/>
      <c r="B271" s="237"/>
      <c r="C271" s="237"/>
      <c r="D271" s="245"/>
      <c r="E271" s="14"/>
      <c r="F271" s="51"/>
      <c r="G271" s="49"/>
      <c r="H271" s="245"/>
      <c r="I271" s="240"/>
      <c r="J271" s="206">
        <f>4840.06*1.18/1000</f>
        <v>5.7112708000000003</v>
      </c>
    </row>
    <row r="272" spans="1:12" s="3" customFormat="1" x14ac:dyDescent="0.25">
      <c r="A272" s="222"/>
      <c r="B272" s="237"/>
      <c r="C272" s="237"/>
      <c r="D272" s="245"/>
      <c r="E272" s="14"/>
      <c r="F272" s="51"/>
      <c r="G272" s="49"/>
      <c r="H272" s="245"/>
      <c r="I272" s="240"/>
      <c r="J272" s="206">
        <f>96703.42*1.18/1000</f>
        <v>114.11003559999999</v>
      </c>
    </row>
    <row r="273" spans="1:10" s="3" customFormat="1" x14ac:dyDescent="0.25">
      <c r="A273" s="222"/>
      <c r="B273" s="237"/>
      <c r="C273" s="237"/>
      <c r="D273" s="245"/>
      <c r="E273" s="14"/>
      <c r="F273" s="51"/>
      <c r="G273" s="49"/>
      <c r="H273" s="245"/>
      <c r="I273" s="240"/>
      <c r="J273" s="206">
        <f>28850.27*1.18/1000</f>
        <v>34.043318599999999</v>
      </c>
    </row>
    <row r="274" spans="1:10" s="3" customFormat="1" x14ac:dyDescent="0.25">
      <c r="A274" s="222"/>
      <c r="B274" s="237"/>
      <c r="C274" s="237"/>
      <c r="D274" s="245"/>
      <c r="E274" s="14"/>
      <c r="F274" s="51"/>
      <c r="G274" s="49"/>
      <c r="H274" s="245"/>
      <c r="I274" s="240"/>
      <c r="J274" s="206">
        <f>19641.03*1.18/1000</f>
        <v>23.1764154</v>
      </c>
    </row>
    <row r="275" spans="1:10" s="3" customFormat="1" x14ac:dyDescent="0.25">
      <c r="A275" s="222"/>
      <c r="B275" s="237"/>
      <c r="C275" s="237"/>
      <c r="D275" s="245"/>
      <c r="E275" s="14"/>
      <c r="F275" s="51"/>
      <c r="G275" s="49"/>
      <c r="H275" s="245"/>
      <c r="I275" s="240"/>
      <c r="J275" s="206">
        <f>862.75*1.18/1000</f>
        <v>1.0180449999999999</v>
      </c>
    </row>
    <row r="276" spans="1:10" s="3" customFormat="1" x14ac:dyDescent="0.25">
      <c r="A276" s="222"/>
      <c r="B276" s="237"/>
      <c r="C276" s="237"/>
      <c r="D276" s="245"/>
      <c r="E276" s="14"/>
      <c r="F276" s="51"/>
      <c r="G276" s="49"/>
      <c r="H276" s="245"/>
      <c r="I276" s="240"/>
      <c r="J276" s="206">
        <f>32158.61*1.18/1000</f>
        <v>37.947159800000001</v>
      </c>
    </row>
    <row r="277" spans="1:10" s="3" customFormat="1" x14ac:dyDescent="0.25">
      <c r="A277" s="222"/>
      <c r="B277" s="237"/>
      <c r="C277" s="237"/>
      <c r="D277" s="245"/>
      <c r="E277" s="14"/>
      <c r="F277" s="51"/>
      <c r="G277" s="49"/>
      <c r="H277" s="245"/>
      <c r="I277" s="240"/>
      <c r="J277" s="206">
        <f>49215.69*1.18/1000</f>
        <v>58.074514199999996</v>
      </c>
    </row>
    <row r="278" spans="1:10" s="3" customFormat="1" x14ac:dyDescent="0.25">
      <c r="A278" s="222"/>
      <c r="B278" s="237"/>
      <c r="C278" s="237"/>
      <c r="D278" s="245"/>
      <c r="E278" s="14"/>
      <c r="F278" s="51"/>
      <c r="G278" s="49"/>
      <c r="H278" s="246"/>
      <c r="I278" s="241"/>
      <c r="J278" s="206">
        <f>37344.83*1.18/1000</f>
        <v>44.066899400000004</v>
      </c>
    </row>
    <row r="279" spans="1:10" s="3" customFormat="1" ht="29.25" customHeight="1" x14ac:dyDescent="0.25">
      <c r="A279" s="222"/>
      <c r="B279" s="237"/>
      <c r="C279" s="237"/>
      <c r="D279" s="245"/>
      <c r="E279" s="14"/>
      <c r="F279" s="51"/>
      <c r="G279" s="49"/>
      <c r="H279" s="201">
        <f t="shared" ref="H279:H280" si="25">+J279</f>
        <v>-229.74644839999999</v>
      </c>
      <c r="I279" s="303" t="s">
        <v>629</v>
      </c>
      <c r="J279" s="206">
        <f>-194700.38*1.18/1000</f>
        <v>-229.74644839999999</v>
      </c>
    </row>
    <row r="280" spans="1:10" s="3" customFormat="1" ht="26.25" customHeight="1" x14ac:dyDescent="0.25">
      <c r="A280" s="222"/>
      <c r="B280" s="237"/>
      <c r="C280" s="237"/>
      <c r="D280" s="245"/>
      <c r="E280" s="14"/>
      <c r="F280" s="51"/>
      <c r="G280" s="49"/>
      <c r="H280" s="201">
        <f t="shared" si="25"/>
        <v>-84.798693999999998</v>
      </c>
      <c r="I280" s="304"/>
      <c r="J280" s="206">
        <f>-71863.3*1.18/1000</f>
        <v>-84.798693999999998</v>
      </c>
    </row>
    <row r="281" spans="1:10" s="3" customFormat="1" ht="29.25" customHeight="1" x14ac:dyDescent="0.25">
      <c r="A281" s="222"/>
      <c r="B281" s="237"/>
      <c r="C281" s="237"/>
      <c r="D281" s="245"/>
      <c r="E281" s="14"/>
      <c r="F281" s="51"/>
      <c r="G281" s="49"/>
      <c r="H281" s="200">
        <f>+J281</f>
        <v>8.2059441999999994</v>
      </c>
      <c r="I281" s="239" t="s">
        <v>634</v>
      </c>
      <c r="J281" s="206">
        <f>6954.19*1.18/1000</f>
        <v>8.2059441999999994</v>
      </c>
    </row>
    <row r="282" spans="1:10" s="3" customFormat="1" x14ac:dyDescent="0.25">
      <c r="A282" s="222"/>
      <c r="B282" s="237"/>
      <c r="C282" s="237"/>
      <c r="D282" s="245"/>
      <c r="E282" s="14"/>
      <c r="F282" s="51"/>
      <c r="G282" s="49"/>
      <c r="H282" s="200">
        <f t="shared" ref="H282:H302" si="26">+J282</f>
        <v>9.0319441999999999</v>
      </c>
      <c r="I282" s="240"/>
      <c r="J282" s="206">
        <f>7654.19*1.18/1000</f>
        <v>9.0319441999999999</v>
      </c>
    </row>
    <row r="283" spans="1:10" s="3" customFormat="1" x14ac:dyDescent="0.25">
      <c r="A283" s="222"/>
      <c r="B283" s="237"/>
      <c r="C283" s="237"/>
      <c r="D283" s="245"/>
      <c r="E283" s="14"/>
      <c r="F283" s="51"/>
      <c r="G283" s="49"/>
      <c r="H283" s="200">
        <f t="shared" si="26"/>
        <v>137.27559500000001</v>
      </c>
      <c r="I283" s="240"/>
      <c r="J283" s="206">
        <f>116335.25*1.18/1000</f>
        <v>137.27559500000001</v>
      </c>
    </row>
    <row r="284" spans="1:10" s="3" customFormat="1" x14ac:dyDescent="0.25">
      <c r="A284" s="222"/>
      <c r="B284" s="237"/>
      <c r="C284" s="237"/>
      <c r="D284" s="245"/>
      <c r="E284" s="14"/>
      <c r="F284" s="51"/>
      <c r="G284" s="49"/>
      <c r="H284" s="200">
        <f t="shared" si="26"/>
        <v>12.640525799999999</v>
      </c>
      <c r="I284" s="240"/>
      <c r="J284" s="206">
        <f>10712.31*1.18/1000</f>
        <v>12.640525799999999</v>
      </c>
    </row>
    <row r="285" spans="1:10" s="3" customFormat="1" x14ac:dyDescent="0.25">
      <c r="A285" s="222" t="s">
        <v>47</v>
      </c>
      <c r="B285" s="237"/>
      <c r="C285" s="237"/>
      <c r="D285" s="245"/>
      <c r="E285" s="14"/>
      <c r="F285" s="51"/>
      <c r="G285" s="49"/>
      <c r="H285" s="200">
        <f t="shared" si="26"/>
        <v>133.7117236</v>
      </c>
      <c r="I285" s="240" t="s">
        <v>635</v>
      </c>
      <c r="J285" s="206">
        <f>113315.02*1.18/1000</f>
        <v>133.7117236</v>
      </c>
    </row>
    <row r="286" spans="1:10" s="3" customFormat="1" x14ac:dyDescent="0.25">
      <c r="A286" s="222"/>
      <c r="B286" s="237"/>
      <c r="C286" s="237"/>
      <c r="D286" s="245"/>
      <c r="E286" s="14"/>
      <c r="F286" s="51"/>
      <c r="G286" s="49"/>
      <c r="H286" s="200">
        <f t="shared" si="26"/>
        <v>14.857155799999999</v>
      </c>
      <c r="I286" s="240"/>
      <c r="J286" s="206">
        <f>12590.81*1.18/1000</f>
        <v>14.857155799999999</v>
      </c>
    </row>
    <row r="287" spans="1:10" s="3" customFormat="1" x14ac:dyDescent="0.25">
      <c r="A287" s="222"/>
      <c r="B287" s="237"/>
      <c r="C287" s="237"/>
      <c r="D287" s="245"/>
      <c r="E287" s="14"/>
      <c r="F287" s="51"/>
      <c r="G287" s="49"/>
      <c r="H287" s="200">
        <f t="shared" si="26"/>
        <v>74.431202200000001</v>
      </c>
      <c r="I287" s="240"/>
      <c r="J287" s="206">
        <f>63077.29*1.18/1000</f>
        <v>74.431202200000001</v>
      </c>
    </row>
    <row r="288" spans="1:10" s="3" customFormat="1" x14ac:dyDescent="0.25">
      <c r="A288" s="222"/>
      <c r="B288" s="237"/>
      <c r="C288" s="237"/>
      <c r="D288" s="245"/>
      <c r="E288" s="14"/>
      <c r="F288" s="51"/>
      <c r="G288" s="49"/>
      <c r="H288" s="200">
        <f t="shared" si="26"/>
        <v>14.606193399999999</v>
      </c>
      <c r="I288" s="224" t="s">
        <v>633</v>
      </c>
      <c r="J288" s="206">
        <f>12378.13*1.18/1000</f>
        <v>14.606193399999999</v>
      </c>
    </row>
    <row r="289" spans="1:10" s="3" customFormat="1" x14ac:dyDescent="0.25">
      <c r="A289" s="222"/>
      <c r="B289" s="237"/>
      <c r="C289" s="237"/>
      <c r="D289" s="245"/>
      <c r="E289" s="14"/>
      <c r="F289" s="51"/>
      <c r="G289" s="49"/>
      <c r="H289" s="200">
        <f t="shared" si="26"/>
        <v>8.6114040000000003</v>
      </c>
      <c r="I289" s="224"/>
      <c r="J289" s="206">
        <f>7297.8*1.18/1000</f>
        <v>8.6114040000000003</v>
      </c>
    </row>
    <row r="290" spans="1:10" s="3" customFormat="1" x14ac:dyDescent="0.25">
      <c r="A290" s="222"/>
      <c r="B290" s="237"/>
      <c r="C290" s="237"/>
      <c r="D290" s="245"/>
      <c r="E290" s="14"/>
      <c r="F290" s="51"/>
      <c r="G290" s="49"/>
      <c r="H290" s="200">
        <f t="shared" si="26"/>
        <v>17.482844599999996</v>
      </c>
      <c r="I290" s="224"/>
      <c r="J290" s="206">
        <f>14815.97*1.18/1000</f>
        <v>17.482844599999996</v>
      </c>
    </row>
    <row r="291" spans="1:10" s="3" customFormat="1" x14ac:dyDescent="0.25">
      <c r="A291" s="222"/>
      <c r="B291" s="237"/>
      <c r="C291" s="237"/>
      <c r="D291" s="245"/>
      <c r="E291" s="14"/>
      <c r="F291" s="51"/>
      <c r="G291" s="49"/>
      <c r="H291" s="200">
        <f t="shared" si="26"/>
        <v>49.149560599999994</v>
      </c>
      <c r="I291" s="224"/>
      <c r="J291" s="206">
        <f>41652.17*1.18/1000</f>
        <v>49.149560599999994</v>
      </c>
    </row>
    <row r="292" spans="1:10" s="3" customFormat="1" x14ac:dyDescent="0.25">
      <c r="A292" s="222"/>
      <c r="B292" s="237"/>
      <c r="C292" s="237"/>
      <c r="D292" s="245"/>
      <c r="E292" s="14"/>
      <c r="F292" s="51"/>
      <c r="G292" s="49"/>
      <c r="H292" s="200">
        <f t="shared" si="26"/>
        <v>53.007782999999996</v>
      </c>
      <c r="I292" s="224"/>
      <c r="J292" s="206">
        <f>44921.85*1.18/1000</f>
        <v>53.007782999999996</v>
      </c>
    </row>
    <row r="293" spans="1:10" s="3" customFormat="1" ht="28.5" x14ac:dyDescent="0.25">
      <c r="A293" s="222"/>
      <c r="B293" s="237"/>
      <c r="C293" s="237"/>
      <c r="D293" s="245"/>
      <c r="E293" s="14"/>
      <c r="F293" s="51"/>
      <c r="G293" s="49"/>
      <c r="H293" s="200">
        <f t="shared" si="26"/>
        <v>173.00817799999999</v>
      </c>
      <c r="I293" s="186" t="s">
        <v>646</v>
      </c>
      <c r="J293" s="206">
        <f>146617.1*1.18/1000</f>
        <v>173.00817799999999</v>
      </c>
    </row>
    <row r="294" spans="1:10" s="3" customFormat="1" x14ac:dyDescent="0.25">
      <c r="A294" s="222"/>
      <c r="B294" s="237"/>
      <c r="C294" s="237"/>
      <c r="D294" s="245"/>
      <c r="E294" s="14"/>
      <c r="F294" s="51"/>
      <c r="G294" s="49"/>
      <c r="H294" s="200">
        <f t="shared" si="26"/>
        <v>52.197665799999996</v>
      </c>
      <c r="I294" s="239" t="s">
        <v>647</v>
      </c>
      <c r="J294" s="206">
        <f>44235.31*1.18/1000</f>
        <v>52.197665799999996</v>
      </c>
    </row>
    <row r="295" spans="1:10" s="3" customFormat="1" x14ac:dyDescent="0.25">
      <c r="A295" s="222"/>
      <c r="B295" s="237"/>
      <c r="C295" s="237"/>
      <c r="D295" s="245"/>
      <c r="E295" s="14"/>
      <c r="F295" s="51"/>
      <c r="G295" s="49"/>
      <c r="H295" s="200">
        <f t="shared" si="26"/>
        <v>6.8820785999999998</v>
      </c>
      <c r="I295" s="240"/>
      <c r="J295" s="206">
        <f>5832.27*1.18/1000</f>
        <v>6.8820785999999998</v>
      </c>
    </row>
    <row r="296" spans="1:10" s="3" customFormat="1" x14ac:dyDescent="0.25">
      <c r="A296" s="222"/>
      <c r="B296" s="237"/>
      <c r="C296" s="237"/>
      <c r="D296" s="245"/>
      <c r="E296" s="14"/>
      <c r="F296" s="51"/>
      <c r="G296" s="49"/>
      <c r="H296" s="200">
        <f t="shared" si="26"/>
        <v>0.59665519999999994</v>
      </c>
      <c r="I296" s="240"/>
      <c r="J296" s="206">
        <f>505.64*1.18/1000</f>
        <v>0.59665519999999994</v>
      </c>
    </row>
    <row r="297" spans="1:10" s="3" customFormat="1" x14ac:dyDescent="0.25">
      <c r="A297" s="222"/>
      <c r="B297" s="237"/>
      <c r="C297" s="237"/>
      <c r="D297" s="245"/>
      <c r="E297" s="14"/>
      <c r="F297" s="51"/>
      <c r="G297" s="49"/>
      <c r="H297" s="200">
        <f t="shared" si="26"/>
        <v>4.4678339999999999</v>
      </c>
      <c r="I297" s="241"/>
      <c r="J297" s="206">
        <f>3786.3*1.18/1000</f>
        <v>4.4678339999999999</v>
      </c>
    </row>
    <row r="298" spans="1:10" s="3" customFormat="1" x14ac:dyDescent="0.25">
      <c r="A298" s="222"/>
      <c r="B298" s="237"/>
      <c r="C298" s="237"/>
      <c r="D298" s="245"/>
      <c r="E298" s="14"/>
      <c r="F298" s="51"/>
      <c r="G298" s="49"/>
      <c r="H298" s="200">
        <f t="shared" si="26"/>
        <v>82.399104999999992</v>
      </c>
      <c r="I298" s="239" t="s">
        <v>648</v>
      </c>
      <c r="J298" s="206">
        <f>69829.75*1.18/1000</f>
        <v>82.399104999999992</v>
      </c>
    </row>
    <row r="299" spans="1:10" s="3" customFormat="1" x14ac:dyDescent="0.25">
      <c r="A299" s="222"/>
      <c r="B299" s="237"/>
      <c r="C299" s="237"/>
      <c r="D299" s="245"/>
      <c r="E299" s="14"/>
      <c r="F299" s="51"/>
      <c r="G299" s="49"/>
      <c r="H299" s="200">
        <f t="shared" si="26"/>
        <v>37.232610800000003</v>
      </c>
      <c r="I299" s="241"/>
      <c r="J299" s="206">
        <f>31553.06*1.18/1000</f>
        <v>37.232610800000003</v>
      </c>
    </row>
    <row r="300" spans="1:10" s="3" customFormat="1" ht="28.5" customHeight="1" x14ac:dyDescent="0.25">
      <c r="A300" s="222"/>
      <c r="B300" s="237"/>
      <c r="C300" s="237"/>
      <c r="D300" s="245"/>
      <c r="E300" s="14"/>
      <c r="F300" s="51"/>
      <c r="G300" s="49"/>
      <c r="H300" s="200">
        <f t="shared" si="26"/>
        <v>17.109870199999996</v>
      </c>
      <c r="I300" s="239" t="s">
        <v>649</v>
      </c>
      <c r="J300" s="206">
        <f>14499.89*1.18/1000</f>
        <v>17.109870199999996</v>
      </c>
    </row>
    <row r="301" spans="1:10" s="3" customFormat="1" x14ac:dyDescent="0.25">
      <c r="A301" s="222"/>
      <c r="B301" s="237"/>
      <c r="C301" s="237"/>
      <c r="D301" s="245"/>
      <c r="E301" s="14"/>
      <c r="F301" s="51"/>
      <c r="G301" s="49"/>
      <c r="H301" s="200">
        <f t="shared" si="26"/>
        <v>11.9833956</v>
      </c>
      <c r="I301" s="240"/>
      <c r="J301" s="206">
        <f>10155.42*1.18/1000</f>
        <v>11.9833956</v>
      </c>
    </row>
    <row r="302" spans="1:10" s="3" customFormat="1" x14ac:dyDescent="0.25">
      <c r="A302" s="222"/>
      <c r="B302" s="238"/>
      <c r="C302" s="238"/>
      <c r="D302" s="246"/>
      <c r="E302" s="14"/>
      <c r="F302" s="51"/>
      <c r="G302" s="49"/>
      <c r="H302" s="200">
        <f t="shared" si="26"/>
        <v>10.594205199999999</v>
      </c>
      <c r="I302" s="241"/>
      <c r="J302" s="206">
        <f>8978.14*1.18/1000</f>
        <v>10.594205199999999</v>
      </c>
    </row>
    <row r="303" spans="1:10" s="3" customFormat="1" ht="28.5" customHeight="1" x14ac:dyDescent="0.25">
      <c r="A303" s="222"/>
      <c r="B303" s="274" t="s">
        <v>82</v>
      </c>
      <c r="C303" s="236" t="s">
        <v>57</v>
      </c>
      <c r="D303" s="239">
        <v>227158.85084</v>
      </c>
      <c r="E303" s="14">
        <v>19205.041499999999</v>
      </c>
      <c r="F303" s="16" t="s">
        <v>286</v>
      </c>
      <c r="G303" s="14">
        <f t="shared" ref="G303:G454" si="27">E303</f>
        <v>19205.041499999999</v>
      </c>
      <c r="H303" s="203">
        <f>J303</f>
        <v>10614.570666599999</v>
      </c>
      <c r="I303" s="16" t="s">
        <v>153</v>
      </c>
      <c r="J303" s="206">
        <f>8995398.87*1.18/1000</f>
        <v>10614.570666599999</v>
      </c>
    </row>
    <row r="304" spans="1:10" s="3" customFormat="1" ht="42.75" x14ac:dyDescent="0.25">
      <c r="A304" s="222"/>
      <c r="B304" s="242"/>
      <c r="C304" s="237"/>
      <c r="D304" s="240"/>
      <c r="E304" s="14">
        <v>9553.1136000000006</v>
      </c>
      <c r="F304" s="16" t="s">
        <v>141</v>
      </c>
      <c r="G304" s="14">
        <f>E304</f>
        <v>9553.1136000000006</v>
      </c>
      <c r="H304" s="203">
        <f>J304</f>
        <v>11863.081820599999</v>
      </c>
      <c r="I304" s="16" t="s">
        <v>162</v>
      </c>
      <c r="J304" s="206">
        <f>10053459.17*1.18/1000</f>
        <v>11863.081820599999</v>
      </c>
    </row>
    <row r="305" spans="1:10" s="3" customFormat="1" ht="28.5" x14ac:dyDescent="0.25">
      <c r="A305" s="222"/>
      <c r="B305" s="242"/>
      <c r="C305" s="237"/>
      <c r="D305" s="240"/>
      <c r="E305" s="239">
        <f>G305+G306</f>
        <v>26518.388420000003</v>
      </c>
      <c r="F305" s="14" t="s">
        <v>224</v>
      </c>
      <c r="G305" s="14">
        <f>10676773.64/1000</f>
        <v>10676.773640000001</v>
      </c>
      <c r="H305" s="239">
        <f>J305+J306+J307+J308</f>
        <v>17601.794204999998</v>
      </c>
      <c r="I305" s="239" t="s">
        <v>165</v>
      </c>
      <c r="J305" s="206">
        <f>14038737.54*1.18/1000</f>
        <v>16565.710297199999</v>
      </c>
    </row>
    <row r="306" spans="1:10" s="3" customFormat="1" ht="28.5" x14ac:dyDescent="0.25">
      <c r="A306" s="222"/>
      <c r="B306" s="242"/>
      <c r="C306" s="237"/>
      <c r="D306" s="240"/>
      <c r="E306" s="241"/>
      <c r="F306" s="14" t="s">
        <v>225</v>
      </c>
      <c r="G306" s="14">
        <f>15841614.78/1000</f>
        <v>15841.61478</v>
      </c>
      <c r="H306" s="240"/>
      <c r="I306" s="240"/>
      <c r="J306" s="206">
        <f>66364.31*1.18/1000</f>
        <v>78.309885799999989</v>
      </c>
    </row>
    <row r="307" spans="1:10" s="3" customFormat="1" ht="36.75" customHeight="1" x14ac:dyDescent="0.25">
      <c r="A307" s="222"/>
      <c r="B307" s="242"/>
      <c r="C307" s="237"/>
      <c r="D307" s="240"/>
      <c r="E307" s="14"/>
      <c r="F307" s="16"/>
      <c r="G307" s="14"/>
      <c r="H307" s="240"/>
      <c r="I307" s="240"/>
      <c r="J307" s="206">
        <f>405836.45*1.18/1000</f>
        <v>478.88701099999997</v>
      </c>
    </row>
    <row r="308" spans="1:10" s="3" customFormat="1" ht="33" customHeight="1" x14ac:dyDescent="0.25">
      <c r="A308" s="222"/>
      <c r="B308" s="242"/>
      <c r="C308" s="237"/>
      <c r="D308" s="240"/>
      <c r="E308" s="14"/>
      <c r="F308" s="16"/>
      <c r="G308" s="14"/>
      <c r="H308" s="241"/>
      <c r="I308" s="241"/>
      <c r="J308" s="206">
        <f>405836.45*1.18/1000</f>
        <v>478.88701099999997</v>
      </c>
    </row>
    <row r="309" spans="1:10" s="3" customFormat="1" ht="14.25" customHeight="1" x14ac:dyDescent="0.25">
      <c r="A309" s="222"/>
      <c r="B309" s="242"/>
      <c r="C309" s="237"/>
      <c r="D309" s="240"/>
      <c r="E309" s="14"/>
      <c r="F309" s="16"/>
      <c r="G309" s="14"/>
      <c r="H309" s="244">
        <f>J309+J310</f>
        <v>6221.994954400001</v>
      </c>
      <c r="I309" s="239" t="s">
        <v>321</v>
      </c>
      <c r="J309" s="276">
        <f>4800777.08*1.18/1000+472100*1.18/1000</f>
        <v>6221.994954400001</v>
      </c>
    </row>
    <row r="310" spans="1:10" s="3" customFormat="1" x14ac:dyDescent="0.25">
      <c r="A310" s="222"/>
      <c r="B310" s="242"/>
      <c r="C310" s="237"/>
      <c r="D310" s="240"/>
      <c r="E310" s="14"/>
      <c r="F310" s="16"/>
      <c r="G310" s="14"/>
      <c r="H310" s="246"/>
      <c r="I310" s="241"/>
      <c r="J310" s="277"/>
    </row>
    <row r="311" spans="1:10" s="3" customFormat="1" x14ac:dyDescent="0.25">
      <c r="A311" s="222"/>
      <c r="B311" s="242"/>
      <c r="C311" s="237"/>
      <c r="D311" s="240"/>
      <c r="E311" s="14"/>
      <c r="F311" s="16"/>
      <c r="G311" s="14"/>
      <c r="H311" s="239">
        <f>J311+J312+J313+J314+J315</f>
        <v>4990.1547695999998</v>
      </c>
      <c r="I311" s="239" t="s">
        <v>322</v>
      </c>
      <c r="J311" s="209">
        <f>218247.42*1.18/1000</f>
        <v>257.5319556</v>
      </c>
    </row>
    <row r="312" spans="1:10" s="3" customFormat="1" x14ac:dyDescent="0.25">
      <c r="A312" s="222"/>
      <c r="B312" s="242"/>
      <c r="C312" s="237"/>
      <c r="D312" s="240"/>
      <c r="E312" s="14"/>
      <c r="F312" s="16"/>
      <c r="G312" s="14"/>
      <c r="H312" s="240"/>
      <c r="I312" s="240"/>
      <c r="J312" s="209">
        <f>901480.02*1.18/1000</f>
        <v>1063.7464235999998</v>
      </c>
    </row>
    <row r="313" spans="1:10" s="3" customFormat="1" x14ac:dyDescent="0.25">
      <c r="A313" s="222"/>
      <c r="B313" s="242"/>
      <c r="C313" s="237"/>
      <c r="D313" s="240"/>
      <c r="E313" s="14"/>
      <c r="F313" s="16"/>
      <c r="G313" s="14"/>
      <c r="H313" s="240"/>
      <c r="I313" s="240"/>
      <c r="J313" s="209">
        <f>68758.15*1.18/1000</f>
        <v>81.134616999999977</v>
      </c>
    </row>
    <row r="314" spans="1:10" s="3" customFormat="1" ht="15" customHeight="1" x14ac:dyDescent="0.25">
      <c r="A314" s="222"/>
      <c r="B314" s="242"/>
      <c r="C314" s="237"/>
      <c r="D314" s="240"/>
      <c r="E314" s="14"/>
      <c r="F314" s="16"/>
      <c r="G314" s="14"/>
      <c r="H314" s="240"/>
      <c r="I314" s="240"/>
      <c r="J314" s="209">
        <f>414947.7*1.18/1000</f>
        <v>489.63828599999994</v>
      </c>
    </row>
    <row r="315" spans="1:10" s="3" customFormat="1" x14ac:dyDescent="0.25">
      <c r="A315" s="222"/>
      <c r="B315" s="242"/>
      <c r="C315" s="237"/>
      <c r="D315" s="240"/>
      <c r="E315" s="14"/>
      <c r="F315" s="16"/>
      <c r="G315" s="14"/>
      <c r="H315" s="240"/>
      <c r="I315" s="241"/>
      <c r="J315" s="209">
        <f>2625511.43*1.18/1000</f>
        <v>3098.1034874000002</v>
      </c>
    </row>
    <row r="316" spans="1:10" s="3" customFormat="1" x14ac:dyDescent="0.25">
      <c r="A316" s="222"/>
      <c r="B316" s="242"/>
      <c r="C316" s="237"/>
      <c r="D316" s="240"/>
      <c r="E316" s="14"/>
      <c r="F316" s="16"/>
      <c r="G316" s="14"/>
      <c r="H316" s="224">
        <f>J316+J317+J318+J319+J320+J321</f>
        <v>19046.415494399997</v>
      </c>
      <c r="I316" s="239" t="s">
        <v>323</v>
      </c>
      <c r="J316" s="209">
        <f>5299352.35*1.18/1000</f>
        <v>6253.2357729999994</v>
      </c>
    </row>
    <row r="317" spans="1:10" s="3" customFormat="1" x14ac:dyDescent="0.25">
      <c r="A317" s="222"/>
      <c r="B317" s="242"/>
      <c r="C317" s="237"/>
      <c r="D317" s="240"/>
      <c r="E317" s="14"/>
      <c r="F317" s="16"/>
      <c r="G317" s="14"/>
      <c r="H317" s="224"/>
      <c r="I317" s="240"/>
      <c r="J317" s="209">
        <f>87812.6*1.18/1000</f>
        <v>103.61886800000001</v>
      </c>
    </row>
    <row r="318" spans="1:10" s="3" customFormat="1" x14ac:dyDescent="0.25">
      <c r="A318" s="222"/>
      <c r="B318" s="242"/>
      <c r="C318" s="237"/>
      <c r="D318" s="240"/>
      <c r="E318" s="14"/>
      <c r="F318" s="16"/>
      <c r="G318" s="14"/>
      <c r="H318" s="224"/>
      <c r="I318" s="240"/>
      <c r="J318" s="209">
        <f>39964.03*1.18/1000</f>
        <v>47.1575554</v>
      </c>
    </row>
    <row r="319" spans="1:10" s="3" customFormat="1" x14ac:dyDescent="0.25">
      <c r="A319" s="222"/>
      <c r="B319" s="242"/>
      <c r="C319" s="237"/>
      <c r="D319" s="240"/>
      <c r="E319" s="14"/>
      <c r="F319" s="16"/>
      <c r="G319" s="14"/>
      <c r="H319" s="224"/>
      <c r="I319" s="240"/>
      <c r="J319" s="209">
        <f>3727918*1.18/1000</f>
        <v>4398.9432400000005</v>
      </c>
    </row>
    <row r="320" spans="1:10" s="3" customFormat="1" x14ac:dyDescent="0.25">
      <c r="A320" s="222"/>
      <c r="B320" s="242"/>
      <c r="C320" s="237"/>
      <c r="D320" s="240"/>
      <c r="E320" s="14"/>
      <c r="F320" s="16"/>
      <c r="G320" s="14"/>
      <c r="H320" s="224"/>
      <c r="I320" s="240"/>
      <c r="J320" s="209">
        <f>3402762.19*1.18/1000</f>
        <v>4015.2593841999997</v>
      </c>
    </row>
    <row r="321" spans="1:15" s="3" customFormat="1" x14ac:dyDescent="0.25">
      <c r="A321" s="222"/>
      <c r="B321" s="242"/>
      <c r="C321" s="237"/>
      <c r="D321" s="240"/>
      <c r="E321" s="14"/>
      <c r="F321" s="16"/>
      <c r="G321" s="14"/>
      <c r="H321" s="224"/>
      <c r="I321" s="241"/>
      <c r="J321" s="209">
        <f>3583220.91*1.18/1000</f>
        <v>4228.2006738</v>
      </c>
    </row>
    <row r="322" spans="1:15" s="3" customFormat="1" x14ac:dyDescent="0.25">
      <c r="A322" s="222"/>
      <c r="B322" s="242"/>
      <c r="C322" s="237"/>
      <c r="D322" s="240"/>
      <c r="E322" s="14"/>
      <c r="F322" s="16"/>
      <c r="G322" s="14"/>
      <c r="H322" s="239">
        <f>J322+J323+J324+J325+J326+J327+J328</f>
        <v>12111.368216599998</v>
      </c>
      <c r="I322" s="239" t="s">
        <v>404</v>
      </c>
      <c r="J322" s="209">
        <f>2624254.98*1.18/1000</f>
        <v>3096.6208763999998</v>
      </c>
    </row>
    <row r="323" spans="1:15" s="3" customFormat="1" x14ac:dyDescent="0.25">
      <c r="A323" s="222"/>
      <c r="B323" s="242"/>
      <c r="C323" s="237"/>
      <c r="D323" s="240"/>
      <c r="E323" s="14"/>
      <c r="F323" s="16"/>
      <c r="G323" s="14"/>
      <c r="H323" s="240"/>
      <c r="I323" s="240"/>
      <c r="J323" s="209">
        <f>3072567.69*1.18/1000</f>
        <v>3625.6298741999999</v>
      </c>
    </row>
    <row r="324" spans="1:15" s="3" customFormat="1" x14ac:dyDescent="0.25">
      <c r="A324" s="222"/>
      <c r="B324" s="242"/>
      <c r="C324" s="237"/>
      <c r="D324" s="240"/>
      <c r="E324" s="14"/>
      <c r="F324" s="16"/>
      <c r="G324" s="14"/>
      <c r="H324" s="240"/>
      <c r="I324" s="240"/>
      <c r="J324" s="209">
        <f>2641121*1.18/1000</f>
        <v>3116.5227799999998</v>
      </c>
    </row>
    <row r="325" spans="1:15" s="3" customFormat="1" x14ac:dyDescent="0.25">
      <c r="A325" s="222"/>
      <c r="B325" s="242"/>
      <c r="C325" s="237"/>
      <c r="D325" s="240"/>
      <c r="E325" s="14"/>
      <c r="F325" s="16"/>
      <c r="G325" s="14"/>
      <c r="H325" s="240"/>
      <c r="I325" s="240"/>
      <c r="J325" s="209">
        <f>540927.45*1.18/1000</f>
        <v>638.29439099999991</v>
      </c>
    </row>
    <row r="326" spans="1:15" s="3" customFormat="1" x14ac:dyDescent="0.25">
      <c r="A326" s="222"/>
      <c r="B326" s="242"/>
      <c r="C326" s="237"/>
      <c r="D326" s="240"/>
      <c r="E326" s="14"/>
      <c r="F326" s="16"/>
      <c r="G326" s="14"/>
      <c r="H326" s="240"/>
      <c r="I326" s="240"/>
      <c r="J326" s="209">
        <f>540927.45*1.18/1000</f>
        <v>638.29439099999991</v>
      </c>
    </row>
    <row r="327" spans="1:15" s="3" customFormat="1" x14ac:dyDescent="0.25">
      <c r="A327" s="222"/>
      <c r="B327" s="242"/>
      <c r="C327" s="237"/>
      <c r="D327" s="240"/>
      <c r="E327" s="14"/>
      <c r="F327" s="16"/>
      <c r="G327" s="14"/>
      <c r="H327" s="240"/>
      <c r="I327" s="240"/>
      <c r="J327" s="209">
        <f>99148.67*1.18/1000</f>
        <v>116.99543059999999</v>
      </c>
    </row>
    <row r="328" spans="1:15" s="3" customFormat="1" x14ac:dyDescent="0.25">
      <c r="A328" s="222"/>
      <c r="B328" s="242"/>
      <c r="C328" s="237"/>
      <c r="D328" s="240"/>
      <c r="E328" s="14"/>
      <c r="F328" s="16"/>
      <c r="G328" s="14"/>
      <c r="H328" s="241"/>
      <c r="I328" s="241"/>
      <c r="J328" s="209">
        <f>744924.13*1.18/1000</f>
        <v>879.01047340000002</v>
      </c>
    </row>
    <row r="329" spans="1:15" s="3" customFormat="1" x14ac:dyDescent="0.25">
      <c r="A329" s="222"/>
      <c r="B329" s="242"/>
      <c r="C329" s="237"/>
      <c r="D329" s="240"/>
      <c r="E329" s="14"/>
      <c r="F329" s="16"/>
      <c r="G329" s="14"/>
      <c r="H329" s="239">
        <f>J329+J330+J331+J332+J333+J334+J335+J336</f>
        <v>5534.805339999999</v>
      </c>
      <c r="I329" s="239" t="s">
        <v>405</v>
      </c>
      <c r="J329" s="209">
        <f>244163.33*1.18/1000</f>
        <v>288.11272939999998</v>
      </c>
    </row>
    <row r="330" spans="1:15" s="3" customFormat="1" x14ac:dyDescent="0.25">
      <c r="A330" s="222"/>
      <c r="B330" s="242"/>
      <c r="C330" s="237"/>
      <c r="D330" s="240"/>
      <c r="E330" s="14"/>
      <c r="F330" s="16"/>
      <c r="G330" s="14"/>
      <c r="H330" s="240"/>
      <c r="I330" s="240"/>
      <c r="J330" s="209">
        <f>244163.33*1.18/1000</f>
        <v>288.11272939999998</v>
      </c>
    </row>
    <row r="331" spans="1:15" s="3" customFormat="1" x14ac:dyDescent="0.25">
      <c r="A331" s="222"/>
      <c r="B331" s="242"/>
      <c r="C331" s="237"/>
      <c r="D331" s="240"/>
      <c r="E331" s="14"/>
      <c r="F331" s="16"/>
      <c r="G331" s="14"/>
      <c r="H331" s="240"/>
      <c r="I331" s="240"/>
      <c r="J331" s="209">
        <f>244163.32*1.18/1000</f>
        <v>288.1127176</v>
      </c>
    </row>
    <row r="332" spans="1:15" s="3" customFormat="1" x14ac:dyDescent="0.25">
      <c r="A332" s="222"/>
      <c r="B332" s="242"/>
      <c r="C332" s="237"/>
      <c r="D332" s="240"/>
      <c r="E332" s="14"/>
      <c r="F332" s="16"/>
      <c r="G332" s="14"/>
      <c r="H332" s="240"/>
      <c r="I332" s="240"/>
      <c r="J332" s="209">
        <f>244163.32*1.18/1000</f>
        <v>288.1127176</v>
      </c>
    </row>
    <row r="333" spans="1:15" s="3" customFormat="1" x14ac:dyDescent="0.25">
      <c r="A333" s="222"/>
      <c r="B333" s="242"/>
      <c r="C333" s="237"/>
      <c r="D333" s="240"/>
      <c r="E333" s="14"/>
      <c r="F333" s="16"/>
      <c r="G333" s="14"/>
      <c r="H333" s="240"/>
      <c r="I333" s="240"/>
      <c r="J333" s="209">
        <f>1050490.64*1.18/1000</f>
        <v>1239.5789551999997</v>
      </c>
      <c r="O333" s="11"/>
    </row>
    <row r="334" spans="1:15" s="3" customFormat="1" x14ac:dyDescent="0.25">
      <c r="A334" s="222"/>
      <c r="B334" s="242"/>
      <c r="C334" s="237"/>
      <c r="D334" s="240"/>
      <c r="E334" s="14"/>
      <c r="F334" s="16"/>
      <c r="G334" s="14"/>
      <c r="H334" s="240"/>
      <c r="I334" s="240"/>
      <c r="J334" s="209">
        <f>1050490.64*1.18/1000</f>
        <v>1239.5789551999997</v>
      </c>
    </row>
    <row r="335" spans="1:15" s="3" customFormat="1" x14ac:dyDescent="0.25">
      <c r="A335" s="222"/>
      <c r="B335" s="242"/>
      <c r="C335" s="237"/>
      <c r="D335" s="240"/>
      <c r="E335" s="14"/>
      <c r="F335" s="16"/>
      <c r="G335" s="14"/>
      <c r="H335" s="240"/>
      <c r="I335" s="240"/>
      <c r="J335" s="209">
        <f>806439.21*1.18/1000</f>
        <v>951.59826779999992</v>
      </c>
    </row>
    <row r="336" spans="1:15" s="3" customFormat="1" x14ac:dyDescent="0.25">
      <c r="A336" s="222"/>
      <c r="B336" s="242"/>
      <c r="C336" s="237"/>
      <c r="D336" s="240"/>
      <c r="E336" s="14"/>
      <c r="F336" s="16"/>
      <c r="G336" s="14"/>
      <c r="H336" s="241"/>
      <c r="I336" s="241"/>
      <c r="J336" s="209">
        <f>806439.21*1.18/1000</f>
        <v>951.59826779999992</v>
      </c>
    </row>
    <row r="337" spans="1:12" s="3" customFormat="1" ht="28.5" x14ac:dyDescent="0.25">
      <c r="A337" s="222"/>
      <c r="B337" s="242"/>
      <c r="C337" s="237"/>
      <c r="D337" s="240"/>
      <c r="E337" s="14"/>
      <c r="F337" s="16"/>
      <c r="G337" s="14"/>
      <c r="H337" s="240">
        <f>J337+J338+J339+J340+J341</f>
        <v>13085.632195800001</v>
      </c>
      <c r="I337" s="14" t="s">
        <v>406</v>
      </c>
      <c r="J337" s="209">
        <f>2512704*1.18/1000</f>
        <v>2964.9907199999998</v>
      </c>
    </row>
    <row r="338" spans="1:12" s="3" customFormat="1" ht="28.5" x14ac:dyDescent="0.25">
      <c r="A338" s="222"/>
      <c r="B338" s="242"/>
      <c r="C338" s="237"/>
      <c r="D338" s="240"/>
      <c r="E338" s="14"/>
      <c r="F338" s="16"/>
      <c r="G338" s="14"/>
      <c r="H338" s="240"/>
      <c r="I338" s="14" t="s">
        <v>407</v>
      </c>
      <c r="J338" s="206">
        <v>430.50885179999995</v>
      </c>
    </row>
    <row r="339" spans="1:12" s="3" customFormat="1" ht="28.5" x14ac:dyDescent="0.25">
      <c r="A339" s="222"/>
      <c r="B339" s="242"/>
      <c r="C339" s="237"/>
      <c r="D339" s="240"/>
      <c r="E339" s="14"/>
      <c r="F339" s="16"/>
      <c r="G339" s="14"/>
      <c r="H339" s="240"/>
      <c r="I339" s="14" t="s">
        <v>408</v>
      </c>
      <c r="J339" s="209">
        <f>724183.25*1.18/1000</f>
        <v>854.53623500000003</v>
      </c>
    </row>
    <row r="340" spans="1:12" s="3" customFormat="1" ht="28.5" x14ac:dyDescent="0.25">
      <c r="A340" s="222"/>
      <c r="B340" s="242"/>
      <c r="C340" s="237"/>
      <c r="D340" s="240"/>
      <c r="E340" s="14"/>
      <c r="F340" s="16"/>
      <c r="G340" s="14"/>
      <c r="H340" s="240"/>
      <c r="I340" s="14" t="s">
        <v>409</v>
      </c>
      <c r="J340" s="209">
        <f>680088*1.18/1000</f>
        <v>802.50383999999997</v>
      </c>
    </row>
    <row r="341" spans="1:12" s="3" customFormat="1" ht="28.5" x14ac:dyDescent="0.25">
      <c r="A341" s="222"/>
      <c r="B341" s="242"/>
      <c r="C341" s="237"/>
      <c r="D341" s="241"/>
      <c r="E341" s="14"/>
      <c r="F341" s="16"/>
      <c r="G341" s="14"/>
      <c r="H341" s="241"/>
      <c r="I341" s="14" t="s">
        <v>410</v>
      </c>
      <c r="J341" s="209">
        <f>6807705.55*1.18/1000</f>
        <v>8033.092549</v>
      </c>
      <c r="L341" s="11">
        <f t="shared" ref="L341:L384" si="28">G341</f>
        <v>0</v>
      </c>
    </row>
    <row r="342" spans="1:12" s="3" customFormat="1" x14ac:dyDescent="0.25">
      <c r="A342" s="222"/>
      <c r="B342" s="242"/>
      <c r="C342" s="237"/>
      <c r="D342" s="15"/>
      <c r="E342" s="14"/>
      <c r="F342" s="16"/>
      <c r="G342" s="14"/>
      <c r="H342" s="199">
        <f t="shared" ref="H342:H370" si="29">+J342</f>
        <v>33.270807999999995</v>
      </c>
      <c r="I342" s="239" t="s">
        <v>581</v>
      </c>
      <c r="J342" s="209">
        <f>28195.6*1.18/1000</f>
        <v>33.270807999999995</v>
      </c>
      <c r="L342" s="11"/>
    </row>
    <row r="343" spans="1:12" s="3" customFormat="1" x14ac:dyDescent="0.25">
      <c r="A343" s="222"/>
      <c r="B343" s="242"/>
      <c r="C343" s="237"/>
      <c r="D343" s="15"/>
      <c r="E343" s="14"/>
      <c r="F343" s="16"/>
      <c r="G343" s="14"/>
      <c r="H343" s="199">
        <f t="shared" si="29"/>
        <v>373.40893499999999</v>
      </c>
      <c r="I343" s="240"/>
      <c r="J343" s="209">
        <f>316448.25*1.18/1000</f>
        <v>373.40893499999999</v>
      </c>
      <c r="L343" s="11"/>
    </row>
    <row r="344" spans="1:12" s="3" customFormat="1" x14ac:dyDescent="0.25">
      <c r="A344" s="222"/>
      <c r="B344" s="242"/>
      <c r="C344" s="237"/>
      <c r="D344" s="15"/>
      <c r="E344" s="14"/>
      <c r="F344" s="16"/>
      <c r="G344" s="14"/>
      <c r="H344" s="199">
        <f t="shared" si="29"/>
        <v>533.81658919999995</v>
      </c>
      <c r="I344" s="240"/>
      <c r="J344" s="209">
        <f>452386.94*1.18/1000</f>
        <v>533.81658919999995</v>
      </c>
      <c r="L344" s="11"/>
    </row>
    <row r="345" spans="1:12" s="3" customFormat="1" x14ac:dyDescent="0.25">
      <c r="A345" s="222"/>
      <c r="B345" s="242"/>
      <c r="C345" s="237"/>
      <c r="D345" s="15"/>
      <c r="E345" s="14"/>
      <c r="F345" s="16"/>
      <c r="G345" s="14"/>
      <c r="H345" s="199">
        <f t="shared" si="29"/>
        <v>505.11698319999994</v>
      </c>
      <c r="I345" s="241"/>
      <c r="J345" s="209">
        <f>428065.24*1.18/1000</f>
        <v>505.11698319999994</v>
      </c>
      <c r="L345" s="11"/>
    </row>
    <row r="346" spans="1:12" s="3" customFormat="1" ht="57" x14ac:dyDescent="0.25">
      <c r="A346" s="222"/>
      <c r="B346" s="242"/>
      <c r="C346" s="237"/>
      <c r="D346" s="15"/>
      <c r="E346" s="14"/>
      <c r="F346" s="16"/>
      <c r="G346" s="14"/>
      <c r="H346" s="199">
        <f t="shared" si="29"/>
        <v>-102.25643999999998</v>
      </c>
      <c r="I346" s="16" t="s">
        <v>565</v>
      </c>
      <c r="J346" s="209">
        <f>-86658*1.18/1000</f>
        <v>-102.25643999999998</v>
      </c>
      <c r="L346" s="11"/>
    </row>
    <row r="347" spans="1:12" s="3" customFormat="1" ht="57" x14ac:dyDescent="0.25">
      <c r="A347" s="222"/>
      <c r="B347" s="242"/>
      <c r="C347" s="237"/>
      <c r="D347" s="15"/>
      <c r="E347" s="14"/>
      <c r="F347" s="16"/>
      <c r="G347" s="14"/>
      <c r="H347" s="199">
        <f t="shared" si="29"/>
        <v>1876.8326333999996</v>
      </c>
      <c r="I347" s="175" t="s">
        <v>642</v>
      </c>
      <c r="J347" s="209">
        <f>1590536.13*1.18/1000</f>
        <v>1876.8326333999996</v>
      </c>
      <c r="L347" s="11"/>
    </row>
    <row r="348" spans="1:12" s="3" customFormat="1" x14ac:dyDescent="0.25">
      <c r="A348" s="222"/>
      <c r="B348" s="242"/>
      <c r="C348" s="237"/>
      <c r="D348" s="15"/>
      <c r="E348" s="14"/>
      <c r="F348" s="16"/>
      <c r="G348" s="14"/>
      <c r="H348" s="199">
        <f t="shared" si="29"/>
        <v>406.51244259999999</v>
      </c>
      <c r="I348" s="239" t="s">
        <v>582</v>
      </c>
      <c r="J348" s="209">
        <f>344502.07*1.18/1000</f>
        <v>406.51244259999999</v>
      </c>
      <c r="L348" s="11"/>
    </row>
    <row r="349" spans="1:12" s="3" customFormat="1" x14ac:dyDescent="0.25">
      <c r="A349" s="222"/>
      <c r="B349" s="242"/>
      <c r="C349" s="237"/>
      <c r="D349" s="15"/>
      <c r="E349" s="14"/>
      <c r="F349" s="16"/>
      <c r="G349" s="14"/>
      <c r="H349" s="199">
        <f t="shared" si="29"/>
        <v>181.63390719999998</v>
      </c>
      <c r="I349" s="240"/>
      <c r="J349" s="209">
        <f>153927.04*1.18/1000</f>
        <v>181.63390719999998</v>
      </c>
      <c r="L349" s="11"/>
    </row>
    <row r="350" spans="1:12" s="3" customFormat="1" x14ac:dyDescent="0.25">
      <c r="A350" s="222"/>
      <c r="B350" s="242"/>
      <c r="C350" s="237"/>
      <c r="D350" s="15"/>
      <c r="E350" s="14"/>
      <c r="F350" s="16"/>
      <c r="G350" s="14"/>
      <c r="H350" s="199">
        <f t="shared" si="29"/>
        <v>1482.8154349999998</v>
      </c>
      <c r="I350" s="240"/>
      <c r="J350" s="209">
        <f>1256623.25*1.18/1000</f>
        <v>1482.8154349999998</v>
      </c>
      <c r="L350" s="11"/>
    </row>
    <row r="351" spans="1:12" s="3" customFormat="1" x14ac:dyDescent="0.25">
      <c r="A351" s="222"/>
      <c r="B351" s="242"/>
      <c r="C351" s="237"/>
      <c r="D351" s="15"/>
      <c r="E351" s="14"/>
      <c r="F351" s="16"/>
      <c r="G351" s="14"/>
      <c r="H351" s="199">
        <f t="shared" si="29"/>
        <v>1190.3260501999998</v>
      </c>
      <c r="I351" s="240"/>
      <c r="J351" s="209">
        <f>1008750.89*1.18/1000</f>
        <v>1190.3260501999998</v>
      </c>
      <c r="L351" s="11"/>
    </row>
    <row r="352" spans="1:12" s="3" customFormat="1" x14ac:dyDescent="0.25">
      <c r="A352" s="222"/>
      <c r="B352" s="242"/>
      <c r="C352" s="237"/>
      <c r="D352" s="15"/>
      <c r="E352" s="14"/>
      <c r="F352" s="16"/>
      <c r="G352" s="14"/>
      <c r="H352" s="199">
        <f t="shared" si="29"/>
        <v>810.36403240000004</v>
      </c>
      <c r="I352" s="240"/>
      <c r="J352" s="209">
        <f>686749.18*1.18/1000</f>
        <v>810.36403240000004</v>
      </c>
      <c r="L352" s="11"/>
    </row>
    <row r="353" spans="1:12" s="3" customFormat="1" x14ac:dyDescent="0.25">
      <c r="A353" s="222"/>
      <c r="B353" s="242"/>
      <c r="C353" s="237"/>
      <c r="D353" s="15"/>
      <c r="E353" s="14"/>
      <c r="F353" s="16"/>
      <c r="G353" s="14"/>
      <c r="H353" s="198">
        <f t="shared" si="29"/>
        <v>35.596316600000002</v>
      </c>
      <c r="I353" s="240"/>
      <c r="J353" s="206">
        <f>30166.37*1.18/1000</f>
        <v>35.596316600000002</v>
      </c>
      <c r="L353" s="11"/>
    </row>
    <row r="354" spans="1:12" s="3" customFormat="1" x14ac:dyDescent="0.25">
      <c r="A354" s="222"/>
      <c r="B354" s="242"/>
      <c r="C354" s="237"/>
      <c r="D354" s="15"/>
      <c r="E354" s="14"/>
      <c r="F354" s="16"/>
      <c r="G354" s="27"/>
      <c r="H354" s="203">
        <f t="shared" si="29"/>
        <v>1326.82386</v>
      </c>
      <c r="I354" s="224" t="s">
        <v>583</v>
      </c>
      <c r="J354" s="203">
        <f>1124427*1.18/1000</f>
        <v>1326.82386</v>
      </c>
      <c r="L354" s="11"/>
    </row>
    <row r="355" spans="1:12" s="3" customFormat="1" x14ac:dyDescent="0.25">
      <c r="A355" s="222"/>
      <c r="B355" s="242"/>
      <c r="C355" s="237"/>
      <c r="D355" s="15"/>
      <c r="E355" s="14"/>
      <c r="F355" s="16"/>
      <c r="G355" s="27"/>
      <c r="H355" s="203">
        <f t="shared" si="29"/>
        <v>2030.5760369999998</v>
      </c>
      <c r="I355" s="224"/>
      <c r="J355" s="203">
        <f>1720827.15*1.18/1000</f>
        <v>2030.5760369999998</v>
      </c>
      <c r="L355" s="11"/>
    </row>
    <row r="356" spans="1:12" s="3" customFormat="1" x14ac:dyDescent="0.25">
      <c r="A356" s="222"/>
      <c r="B356" s="242"/>
      <c r="C356" s="237"/>
      <c r="D356" s="15"/>
      <c r="E356" s="14"/>
      <c r="F356" s="16"/>
      <c r="G356" s="27"/>
      <c r="H356" s="203">
        <f t="shared" si="29"/>
        <v>1540.8005641999998</v>
      </c>
      <c r="I356" s="224"/>
      <c r="J356" s="203">
        <f>1305763.19*1.18/1000</f>
        <v>1540.8005641999998</v>
      </c>
      <c r="L356" s="11"/>
    </row>
    <row r="357" spans="1:12" s="3" customFormat="1" x14ac:dyDescent="0.25">
      <c r="A357" s="222"/>
      <c r="B357" s="242"/>
      <c r="C357" s="237"/>
      <c r="D357" s="15"/>
      <c r="E357" s="14"/>
      <c r="F357" s="16"/>
      <c r="G357" s="27"/>
      <c r="H357" s="203">
        <f t="shared" si="29"/>
        <v>2507.0462900000002</v>
      </c>
      <c r="I357" s="224"/>
      <c r="J357" s="203">
        <f>2124615.5*1.18/1000</f>
        <v>2507.0462900000002</v>
      </c>
      <c r="L357" s="11"/>
    </row>
    <row r="358" spans="1:12" s="3" customFormat="1" x14ac:dyDescent="0.25">
      <c r="A358" s="222"/>
      <c r="B358" s="242"/>
      <c r="C358" s="237"/>
      <c r="D358" s="15"/>
      <c r="E358" s="14"/>
      <c r="F358" s="16"/>
      <c r="G358" s="27"/>
      <c r="H358" s="203">
        <f t="shared" si="29"/>
        <v>18.060973799999999</v>
      </c>
      <c r="I358" s="224"/>
      <c r="J358" s="203">
        <f>15305.91*1.18/1000</f>
        <v>18.060973799999999</v>
      </c>
      <c r="L358" s="11"/>
    </row>
    <row r="359" spans="1:12" s="3" customFormat="1" x14ac:dyDescent="0.25">
      <c r="A359" s="222"/>
      <c r="B359" s="242"/>
      <c r="C359" s="237"/>
      <c r="D359" s="15"/>
      <c r="E359" s="14"/>
      <c r="F359" s="16"/>
      <c r="G359" s="27"/>
      <c r="H359" s="203">
        <f t="shared" si="29"/>
        <v>286.9209176</v>
      </c>
      <c r="I359" s="224" t="s">
        <v>586</v>
      </c>
      <c r="J359" s="203">
        <f>243153.32*1.18/1000</f>
        <v>286.9209176</v>
      </c>
      <c r="L359" s="11"/>
    </row>
    <row r="360" spans="1:12" s="3" customFormat="1" x14ac:dyDescent="0.25">
      <c r="A360" s="222"/>
      <c r="B360" s="242"/>
      <c r="C360" s="237"/>
      <c r="D360" s="15"/>
      <c r="E360" s="14"/>
      <c r="F360" s="16"/>
      <c r="G360" s="27"/>
      <c r="H360" s="203">
        <f t="shared" si="29"/>
        <v>315.80221999999998</v>
      </c>
      <c r="I360" s="224"/>
      <c r="J360" s="203">
        <f>267629*1.18/1000</f>
        <v>315.80221999999998</v>
      </c>
      <c r="L360" s="11"/>
    </row>
    <row r="361" spans="1:12" s="3" customFormat="1" x14ac:dyDescent="0.25">
      <c r="A361" s="222"/>
      <c r="B361" s="242"/>
      <c r="C361" s="237"/>
      <c r="D361" s="15"/>
      <c r="E361" s="14"/>
      <c r="F361" s="16"/>
      <c r="G361" s="27"/>
      <c r="H361" s="203">
        <f t="shared" si="29"/>
        <v>4799.8456675999996</v>
      </c>
      <c r="I361" s="224"/>
      <c r="J361" s="203">
        <f>4067665.82*1.18/1000</f>
        <v>4799.8456675999996</v>
      </c>
      <c r="L361" s="11"/>
    </row>
    <row r="362" spans="1:12" s="3" customFormat="1" x14ac:dyDescent="0.25">
      <c r="A362" s="222"/>
      <c r="B362" s="242"/>
      <c r="C362" s="237"/>
      <c r="D362" s="15"/>
      <c r="E362" s="14"/>
      <c r="F362" s="16"/>
      <c r="G362" s="27"/>
      <c r="H362" s="203">
        <f t="shared" si="29"/>
        <v>441.97717739999996</v>
      </c>
      <c r="I362" s="224"/>
      <c r="J362" s="203">
        <f>374556.93*1.18/1000</f>
        <v>441.97717739999996</v>
      </c>
      <c r="L362" s="11"/>
    </row>
    <row r="363" spans="1:12" s="3" customFormat="1" x14ac:dyDescent="0.25">
      <c r="A363" s="222"/>
      <c r="B363" s="242"/>
      <c r="C363" s="237"/>
      <c r="D363" s="15"/>
      <c r="E363" s="14"/>
      <c r="F363" s="16"/>
      <c r="G363" s="14"/>
      <c r="H363" s="199">
        <f t="shared" si="29"/>
        <v>4675.234741199999</v>
      </c>
      <c r="I363" s="240" t="s">
        <v>587</v>
      </c>
      <c r="J363" s="207">
        <f>3962063.34*1.18/1000</f>
        <v>4675.234741199999</v>
      </c>
      <c r="L363" s="11"/>
    </row>
    <row r="364" spans="1:12" s="3" customFormat="1" x14ac:dyDescent="0.25">
      <c r="A364" s="222"/>
      <c r="B364" s="242"/>
      <c r="C364" s="237"/>
      <c r="D364" s="15"/>
      <c r="E364" s="14"/>
      <c r="F364" s="16"/>
      <c r="G364" s="14"/>
      <c r="H364" s="199">
        <f t="shared" si="29"/>
        <v>519.48109959999999</v>
      </c>
      <c r="I364" s="240"/>
      <c r="J364" s="209">
        <f>440238.22*1.18/1000</f>
        <v>519.48109959999999</v>
      </c>
      <c r="L364" s="11"/>
    </row>
    <row r="365" spans="1:12" s="3" customFormat="1" x14ac:dyDescent="0.25">
      <c r="A365" s="222"/>
      <c r="B365" s="242"/>
      <c r="C365" s="237"/>
      <c r="D365" s="15"/>
      <c r="E365" s="14"/>
      <c r="F365" s="16"/>
      <c r="G365" s="14"/>
      <c r="H365" s="199">
        <f t="shared" si="29"/>
        <v>2602.4894689999996</v>
      </c>
      <c r="I365" s="241"/>
      <c r="J365" s="209">
        <f>2205499.55*1.18/1000</f>
        <v>2602.4894689999996</v>
      </c>
      <c r="L365" s="11"/>
    </row>
    <row r="366" spans="1:12" s="3" customFormat="1" x14ac:dyDescent="0.25">
      <c r="A366" s="222"/>
      <c r="B366" s="242"/>
      <c r="C366" s="237"/>
      <c r="D366" s="15"/>
      <c r="E366" s="14"/>
      <c r="F366" s="16"/>
      <c r="G366" s="14"/>
      <c r="H366" s="199">
        <f t="shared" si="29"/>
        <v>510.70595879999996</v>
      </c>
      <c r="I366" s="239" t="s">
        <v>588</v>
      </c>
      <c r="J366" s="209">
        <f>432801.66*1.18/1000</f>
        <v>510.70595879999996</v>
      </c>
      <c r="L366" s="11"/>
    </row>
    <row r="367" spans="1:12" s="3" customFormat="1" x14ac:dyDescent="0.25">
      <c r="A367" s="222"/>
      <c r="B367" s="242"/>
      <c r="C367" s="237"/>
      <c r="D367" s="15"/>
      <c r="E367" s="14"/>
      <c r="F367" s="16"/>
      <c r="G367" s="14"/>
      <c r="H367" s="199">
        <f t="shared" si="29"/>
        <v>301.09785060000002</v>
      </c>
      <c r="I367" s="240"/>
      <c r="J367" s="209">
        <f>255167.67*1.18/1000</f>
        <v>301.09785060000002</v>
      </c>
      <c r="L367" s="11"/>
    </row>
    <row r="368" spans="1:12" s="3" customFormat="1" x14ac:dyDescent="0.25">
      <c r="A368" s="222"/>
      <c r="B368" s="242"/>
      <c r="C368" s="237"/>
      <c r="D368" s="15"/>
      <c r="E368" s="14"/>
      <c r="F368" s="16"/>
      <c r="G368" s="14"/>
      <c r="H368" s="199">
        <f t="shared" si="29"/>
        <v>611.2884626</v>
      </c>
      <c r="I368" s="240"/>
      <c r="J368" s="209">
        <f>518041.07*1.18/1000</f>
        <v>611.2884626</v>
      </c>
      <c r="L368" s="11"/>
    </row>
    <row r="369" spans="1:12" s="3" customFormat="1" x14ac:dyDescent="0.25">
      <c r="A369" s="222"/>
      <c r="B369" s="242"/>
      <c r="C369" s="237"/>
      <c r="D369" s="15"/>
      <c r="E369" s="14"/>
      <c r="F369" s="16"/>
      <c r="G369" s="14"/>
      <c r="H369" s="199">
        <f t="shared" si="29"/>
        <v>1718.5155144</v>
      </c>
      <c r="I369" s="240"/>
      <c r="J369" s="209">
        <f>1456369.08*1.18/1000</f>
        <v>1718.5155144</v>
      </c>
      <c r="L369" s="11"/>
    </row>
    <row r="370" spans="1:12" s="3" customFormat="1" x14ac:dyDescent="0.25">
      <c r="A370" s="222"/>
      <c r="B370" s="242"/>
      <c r="C370" s="237"/>
      <c r="D370" s="15"/>
      <c r="E370" s="14"/>
      <c r="F370" s="16"/>
      <c r="G370" s="14"/>
      <c r="H370" s="199">
        <f t="shared" si="29"/>
        <v>1853.419038</v>
      </c>
      <c r="I370" s="241"/>
      <c r="J370" s="209">
        <f>1570694.1*1.18/1000</f>
        <v>1853.419038</v>
      </c>
      <c r="L370" s="11"/>
    </row>
    <row r="371" spans="1:12" s="3" customFormat="1" ht="28.5" x14ac:dyDescent="0.25">
      <c r="A371" s="222"/>
      <c r="B371" s="242"/>
      <c r="C371" s="237"/>
      <c r="D371" s="15"/>
      <c r="E371" s="14"/>
      <c r="F371" s="16"/>
      <c r="G371" s="14"/>
      <c r="H371" s="203">
        <f t="shared" ref="H371:H380" si="30">+J371</f>
        <v>6049.2371370000001</v>
      </c>
      <c r="I371" s="175" t="s">
        <v>607</v>
      </c>
      <c r="J371" s="209">
        <f>5126472.15*1.18/1000</f>
        <v>6049.2371370000001</v>
      </c>
      <c r="L371" s="11"/>
    </row>
    <row r="372" spans="1:12" s="3" customFormat="1" x14ac:dyDescent="0.25">
      <c r="A372" s="222"/>
      <c r="B372" s="242"/>
      <c r="C372" s="237"/>
      <c r="D372" s="15"/>
      <c r="E372" s="14"/>
      <c r="F372" s="16"/>
      <c r="G372" s="14"/>
      <c r="H372" s="203">
        <f t="shared" si="30"/>
        <v>1825.0932441999998</v>
      </c>
      <c r="I372" s="239" t="s">
        <v>606</v>
      </c>
      <c r="J372" s="209">
        <f>1546689.19*1.18/1000</f>
        <v>1825.0932441999998</v>
      </c>
      <c r="L372" s="11"/>
    </row>
    <row r="373" spans="1:12" s="3" customFormat="1" x14ac:dyDescent="0.25">
      <c r="A373" s="222"/>
      <c r="B373" s="242"/>
      <c r="C373" s="237"/>
      <c r="D373" s="15"/>
      <c r="E373" s="14"/>
      <c r="F373" s="16"/>
      <c r="G373" s="14"/>
      <c r="H373" s="203">
        <f t="shared" si="30"/>
        <v>240.63184219999999</v>
      </c>
      <c r="I373" s="240"/>
      <c r="J373" s="209">
        <f>203925.29*1.18/1000</f>
        <v>240.63184219999999</v>
      </c>
      <c r="L373" s="11"/>
    </row>
    <row r="374" spans="1:12" s="3" customFormat="1" x14ac:dyDescent="0.25">
      <c r="A374" s="222"/>
      <c r="B374" s="242"/>
      <c r="C374" s="237"/>
      <c r="D374" s="15"/>
      <c r="E374" s="14"/>
      <c r="F374" s="16"/>
      <c r="G374" s="14"/>
      <c r="H374" s="197">
        <f t="shared" si="30"/>
        <v>20.862222999999997</v>
      </c>
      <c r="I374" s="240"/>
      <c r="J374" s="206">
        <f>17679.85*1.18/1000</f>
        <v>20.862222999999997</v>
      </c>
      <c r="L374" s="11"/>
    </row>
    <row r="375" spans="1:12" s="3" customFormat="1" x14ac:dyDescent="0.25">
      <c r="A375" s="222"/>
      <c r="B375" s="242"/>
      <c r="C375" s="237"/>
      <c r="D375" s="15"/>
      <c r="E375" s="14"/>
      <c r="F375" s="16"/>
      <c r="G375" s="14"/>
      <c r="H375" s="203">
        <f t="shared" si="30"/>
        <v>156.21784</v>
      </c>
      <c r="I375" s="241"/>
      <c r="J375" s="203">
        <f>132388*1.18/1000</f>
        <v>156.21784</v>
      </c>
      <c r="L375" s="11"/>
    </row>
    <row r="376" spans="1:12" s="3" customFormat="1" x14ac:dyDescent="0.25">
      <c r="A376" s="222"/>
      <c r="B376" s="242"/>
      <c r="C376" s="237"/>
      <c r="D376" s="15"/>
      <c r="E376" s="14"/>
      <c r="F376" s="16"/>
      <c r="G376" s="14"/>
      <c r="H376" s="203">
        <f t="shared" si="30"/>
        <v>598.24704359999998</v>
      </c>
      <c r="I376" s="239" t="s">
        <v>604</v>
      </c>
      <c r="J376" s="203">
        <f>506989.02*1.18/1000</f>
        <v>598.24704359999998</v>
      </c>
      <c r="L376" s="11"/>
    </row>
    <row r="377" spans="1:12" s="3" customFormat="1" x14ac:dyDescent="0.25">
      <c r="A377" s="222"/>
      <c r="B377" s="242"/>
      <c r="C377" s="237"/>
      <c r="D377" s="15"/>
      <c r="E377" s="14"/>
      <c r="F377" s="16"/>
      <c r="G377" s="14"/>
      <c r="H377" s="203">
        <f t="shared" si="30"/>
        <v>418.99994600000002</v>
      </c>
      <c r="I377" s="240"/>
      <c r="J377" s="203">
        <f>355084.7*1.18/1000</f>
        <v>418.99994600000002</v>
      </c>
      <c r="L377" s="11"/>
    </row>
    <row r="378" spans="1:12" s="3" customFormat="1" x14ac:dyDescent="0.25">
      <c r="A378" s="222"/>
      <c r="B378" s="242"/>
      <c r="C378" s="237"/>
      <c r="D378" s="15"/>
      <c r="E378" s="14"/>
      <c r="F378" s="16"/>
      <c r="G378" s="14"/>
      <c r="H378" s="55">
        <f t="shared" si="30"/>
        <v>370.4266384</v>
      </c>
      <c r="I378" s="241"/>
      <c r="J378" s="55">
        <f>313920.88*1.18/1000</f>
        <v>370.4266384</v>
      </c>
      <c r="L378" s="11"/>
    </row>
    <row r="379" spans="1:12" s="3" customFormat="1" x14ac:dyDescent="0.25">
      <c r="A379" s="222"/>
      <c r="B379" s="242"/>
      <c r="C379" s="237"/>
      <c r="D379" s="15"/>
      <c r="E379" s="14"/>
      <c r="F379" s="16"/>
      <c r="G379" s="14"/>
      <c r="H379" s="55">
        <f t="shared" si="30"/>
        <v>2881.0877522000001</v>
      </c>
      <c r="I379" s="251" t="s">
        <v>605</v>
      </c>
      <c r="J379" s="55">
        <f>2441599.79*1.18/1000</f>
        <v>2881.0877522000001</v>
      </c>
      <c r="L379" s="11"/>
    </row>
    <row r="380" spans="1:12" s="3" customFormat="1" ht="18" customHeight="1" x14ac:dyDescent="0.25">
      <c r="A380" s="222"/>
      <c r="B380" s="242"/>
      <c r="C380" s="237"/>
      <c r="D380" s="176"/>
      <c r="E380" s="175"/>
      <c r="F380" s="16"/>
      <c r="G380" s="175"/>
      <c r="H380" s="197">
        <f t="shared" si="30"/>
        <v>1301.8397199999999</v>
      </c>
      <c r="I380" s="302"/>
      <c r="J380" s="197">
        <f>1103254*1.18/1000</f>
        <v>1301.8397199999999</v>
      </c>
      <c r="L380" s="11"/>
    </row>
    <row r="381" spans="1:12" s="3" customFormat="1" ht="42.75" x14ac:dyDescent="0.25">
      <c r="A381" s="234" t="s">
        <v>47</v>
      </c>
      <c r="B381" s="182" t="s">
        <v>83</v>
      </c>
      <c r="C381" s="172" t="s">
        <v>74</v>
      </c>
      <c r="D381" s="181">
        <v>13944.00001</v>
      </c>
      <c r="E381" s="181">
        <v>13944.00001</v>
      </c>
      <c r="F381" s="175" t="s">
        <v>287</v>
      </c>
      <c r="G381" s="181">
        <f t="shared" si="27"/>
        <v>13944.00001</v>
      </c>
      <c r="H381" s="200"/>
      <c r="I381" s="175"/>
      <c r="J381" s="209"/>
      <c r="L381" s="11">
        <f t="shared" si="28"/>
        <v>13944.00001</v>
      </c>
    </row>
    <row r="382" spans="1:12" s="3" customFormat="1" ht="28.5" x14ac:dyDescent="0.25">
      <c r="A382" s="222"/>
      <c r="B382" s="182" t="s">
        <v>22</v>
      </c>
      <c r="C382" s="172" t="s">
        <v>75</v>
      </c>
      <c r="D382" s="181">
        <v>5175.5789999999997</v>
      </c>
      <c r="E382" s="181">
        <v>5175.5789999999997</v>
      </c>
      <c r="F382" s="175" t="s">
        <v>288</v>
      </c>
      <c r="G382" s="181">
        <f t="shared" si="27"/>
        <v>5175.5789999999997</v>
      </c>
      <c r="H382" s="200"/>
      <c r="I382" s="175"/>
      <c r="J382" s="206"/>
      <c r="L382" s="11">
        <f t="shared" si="28"/>
        <v>5175.5789999999997</v>
      </c>
    </row>
    <row r="383" spans="1:12" s="3" customFormat="1" ht="28.5" x14ac:dyDescent="0.25">
      <c r="A383" s="222"/>
      <c r="B383" s="182" t="s">
        <v>22</v>
      </c>
      <c r="C383" s="172" t="s">
        <v>76</v>
      </c>
      <c r="D383" s="181">
        <v>5084.0429999999997</v>
      </c>
      <c r="E383" s="181">
        <v>5084.0429999999997</v>
      </c>
      <c r="F383" s="175" t="s">
        <v>289</v>
      </c>
      <c r="G383" s="181">
        <f t="shared" si="27"/>
        <v>5084.0429999999997</v>
      </c>
      <c r="H383" s="200"/>
      <c r="I383" s="175"/>
      <c r="J383" s="206"/>
      <c r="L383" s="11">
        <f t="shared" si="28"/>
        <v>5084.0429999999997</v>
      </c>
    </row>
    <row r="384" spans="1:12" s="3" customFormat="1" ht="42.75" x14ac:dyDescent="0.25">
      <c r="A384" s="222"/>
      <c r="B384" s="179" t="s">
        <v>84</v>
      </c>
      <c r="C384" s="179" t="s">
        <v>77</v>
      </c>
      <c r="D384" s="181">
        <v>6690</v>
      </c>
      <c r="E384" s="181">
        <v>6690</v>
      </c>
      <c r="F384" s="184" t="s">
        <v>290</v>
      </c>
      <c r="G384" s="181">
        <f t="shared" si="27"/>
        <v>6690</v>
      </c>
      <c r="H384" s="203">
        <f>J384</f>
        <v>6690.0000054000002</v>
      </c>
      <c r="I384" s="184" t="s">
        <v>188</v>
      </c>
      <c r="J384" s="209">
        <f>5669491.53*1.18/1000</f>
        <v>6690.0000054000002</v>
      </c>
      <c r="L384" s="11">
        <f t="shared" si="28"/>
        <v>6690</v>
      </c>
    </row>
    <row r="385" spans="1:14" s="3" customFormat="1" ht="42.75" x14ac:dyDescent="0.25">
      <c r="A385" s="222"/>
      <c r="B385" s="179" t="s">
        <v>84</v>
      </c>
      <c r="C385" s="179" t="s">
        <v>78</v>
      </c>
      <c r="D385" s="181">
        <v>26390</v>
      </c>
      <c r="E385" s="181">
        <v>26390</v>
      </c>
      <c r="F385" s="184" t="s">
        <v>291</v>
      </c>
      <c r="G385" s="181">
        <f t="shared" si="27"/>
        <v>26390</v>
      </c>
      <c r="H385" s="203">
        <v>26390</v>
      </c>
      <c r="I385" s="184" t="s">
        <v>189</v>
      </c>
      <c r="J385" s="209">
        <f>22364406.78*1.18/1000</f>
        <v>26390.000000399999</v>
      </c>
      <c r="L385" s="11"/>
      <c r="N385" s="11"/>
    </row>
    <row r="386" spans="1:14" s="3" customFormat="1" ht="31.5" customHeight="1" x14ac:dyDescent="0.25">
      <c r="A386" s="222"/>
      <c r="B386" s="178" t="s">
        <v>261</v>
      </c>
      <c r="C386" s="178" t="s">
        <v>259</v>
      </c>
      <c r="D386" s="181">
        <f>84500/1000</f>
        <v>84.5</v>
      </c>
      <c r="E386" s="181">
        <f>G386</f>
        <v>84.5</v>
      </c>
      <c r="F386" s="181" t="s">
        <v>260</v>
      </c>
      <c r="G386" s="21">
        <f>84500/1000</f>
        <v>84.5</v>
      </c>
      <c r="H386" s="21">
        <f>J386</f>
        <v>84.5</v>
      </c>
      <c r="I386" s="181" t="s">
        <v>411</v>
      </c>
      <c r="J386" s="209">
        <v>84.5</v>
      </c>
      <c r="L386" s="11"/>
    </row>
    <row r="387" spans="1:14" s="19" customFormat="1" ht="29.25" customHeight="1" x14ac:dyDescent="0.25">
      <c r="A387" s="222"/>
      <c r="B387" s="236" t="s">
        <v>364</v>
      </c>
      <c r="C387" s="236" t="s">
        <v>362</v>
      </c>
      <c r="D387" s="181">
        <f>84700/1000</f>
        <v>84.7</v>
      </c>
      <c r="E387" s="181"/>
      <c r="F387" s="181"/>
      <c r="G387" s="21"/>
      <c r="H387" s="21">
        <f>J387</f>
        <v>84.7</v>
      </c>
      <c r="I387" s="181" t="s">
        <v>412</v>
      </c>
      <c r="J387" s="209">
        <f>84700/1000</f>
        <v>84.7</v>
      </c>
      <c r="L387" s="20"/>
    </row>
    <row r="388" spans="1:14" s="19" customFormat="1" ht="29.25" customHeight="1" x14ac:dyDescent="0.25">
      <c r="A388" s="222"/>
      <c r="B388" s="238"/>
      <c r="C388" s="238"/>
      <c r="D388" s="181"/>
      <c r="E388" s="181">
        <f>+G388</f>
        <v>84.7</v>
      </c>
      <c r="F388" s="181" t="s">
        <v>478</v>
      </c>
      <c r="G388" s="21">
        <f>84700/1000</f>
        <v>84.7</v>
      </c>
      <c r="H388" s="21"/>
      <c r="I388" s="181"/>
      <c r="J388" s="209"/>
      <c r="L388" s="20"/>
    </row>
    <row r="389" spans="1:14" s="3" customFormat="1" ht="64.5" customHeight="1" x14ac:dyDescent="0.25">
      <c r="A389" s="222"/>
      <c r="B389" s="236" t="s">
        <v>519</v>
      </c>
      <c r="C389" s="236" t="s">
        <v>363</v>
      </c>
      <c r="D389" s="181"/>
      <c r="E389" s="181">
        <f>G389</f>
        <v>5599.7954600000003</v>
      </c>
      <c r="F389" s="181" t="s">
        <v>361</v>
      </c>
      <c r="G389" s="21">
        <f>5599795.46/1000</f>
        <v>5599.7954600000003</v>
      </c>
      <c r="H389" s="21" t="s">
        <v>472</v>
      </c>
      <c r="I389" s="181"/>
      <c r="J389" s="209"/>
      <c r="L389" s="11"/>
    </row>
    <row r="390" spans="1:14" s="18" customFormat="1" ht="64.5" customHeight="1" x14ac:dyDescent="0.25">
      <c r="A390" s="222"/>
      <c r="B390" s="237"/>
      <c r="C390" s="237"/>
      <c r="D390" s="181"/>
      <c r="E390" s="181">
        <f t="shared" ref="E390:E396" si="31">+G390</f>
        <v>4491.1392900000001</v>
      </c>
      <c r="F390" s="181" t="s">
        <v>475</v>
      </c>
      <c r="G390" s="21">
        <f>4491139.29/1000</f>
        <v>4491.1392900000001</v>
      </c>
      <c r="H390" s="21"/>
      <c r="I390" s="181" t="s">
        <v>472</v>
      </c>
      <c r="J390" s="209"/>
      <c r="L390" s="17"/>
    </row>
    <row r="391" spans="1:14" s="18" customFormat="1" ht="64.5" customHeight="1" x14ac:dyDescent="0.25">
      <c r="A391" s="222"/>
      <c r="B391" s="237"/>
      <c r="C391" s="237"/>
      <c r="D391" s="181"/>
      <c r="E391" s="181">
        <f t="shared" si="31"/>
        <v>17141.773940000003</v>
      </c>
      <c r="F391" s="181" t="s">
        <v>476</v>
      </c>
      <c r="G391" s="21">
        <f>17141773.94/1000</f>
        <v>17141.773940000003</v>
      </c>
      <c r="H391" s="21"/>
      <c r="I391" s="181"/>
      <c r="J391" s="209"/>
      <c r="L391" s="17"/>
    </row>
    <row r="392" spans="1:14" s="18" customFormat="1" ht="64.5" customHeight="1" x14ac:dyDescent="0.25">
      <c r="A392" s="222"/>
      <c r="B392" s="237"/>
      <c r="C392" s="237"/>
      <c r="D392" s="59"/>
      <c r="E392" s="55">
        <f t="shared" si="31"/>
        <v>17760.35025</v>
      </c>
      <c r="F392" s="56" t="s">
        <v>520</v>
      </c>
      <c r="G392" s="55">
        <f>17760350.25/1000</f>
        <v>17760.35025</v>
      </c>
      <c r="H392" s="59"/>
      <c r="I392" s="59"/>
      <c r="J392" s="59"/>
      <c r="L392" s="17"/>
    </row>
    <row r="393" spans="1:14" s="18" customFormat="1" ht="64.5" customHeight="1" x14ac:dyDescent="0.25">
      <c r="A393" s="222"/>
      <c r="B393" s="237"/>
      <c r="C393" s="237"/>
      <c r="D393" s="59"/>
      <c r="E393" s="55">
        <f t="shared" si="31"/>
        <v>11495.39351</v>
      </c>
      <c r="F393" s="56" t="s">
        <v>521</v>
      </c>
      <c r="G393" s="55">
        <f>11495393.51/1000</f>
        <v>11495.39351</v>
      </c>
      <c r="H393" s="59"/>
      <c r="I393" s="59"/>
      <c r="J393" s="59" t="s">
        <v>472</v>
      </c>
      <c r="L393" s="17"/>
    </row>
    <row r="394" spans="1:14" s="18" customFormat="1" ht="64.5" customHeight="1" x14ac:dyDescent="0.25">
      <c r="A394" s="222"/>
      <c r="B394" s="238"/>
      <c r="C394" s="238"/>
      <c r="D394" s="58"/>
      <c r="E394" s="55">
        <f t="shared" si="31"/>
        <v>11678.552300000001</v>
      </c>
      <c r="F394" s="56" t="s">
        <v>528</v>
      </c>
      <c r="G394" s="55">
        <f>11678552.3/1000</f>
        <v>11678.552300000001</v>
      </c>
      <c r="H394" s="58"/>
      <c r="I394" s="58"/>
      <c r="J394" s="58"/>
      <c r="L394" s="17"/>
    </row>
    <row r="395" spans="1:14" s="18" customFormat="1" ht="64.5" customHeight="1" x14ac:dyDescent="0.25">
      <c r="A395" s="222"/>
      <c r="B395" s="174" t="s">
        <v>479</v>
      </c>
      <c r="C395" s="178"/>
      <c r="D395" s="181"/>
      <c r="E395" s="181">
        <f t="shared" si="31"/>
        <v>381.77246000000002</v>
      </c>
      <c r="F395" s="181" t="s">
        <v>480</v>
      </c>
      <c r="G395" s="21">
        <f>381772.46/1000</f>
        <v>381.77246000000002</v>
      </c>
      <c r="H395" s="21"/>
      <c r="I395" s="181"/>
      <c r="J395" s="209" t="s">
        <v>472</v>
      </c>
      <c r="K395" s="28"/>
      <c r="L395" s="29"/>
      <c r="M395" s="28"/>
    </row>
    <row r="396" spans="1:14" s="18" customFormat="1" ht="64.5" customHeight="1" x14ac:dyDescent="0.25">
      <c r="A396" s="222"/>
      <c r="B396" s="178" t="s">
        <v>525</v>
      </c>
      <c r="C396" s="178" t="s">
        <v>526</v>
      </c>
      <c r="D396" s="181"/>
      <c r="E396" s="181">
        <f t="shared" si="31"/>
        <v>68.519179999999992</v>
      </c>
      <c r="F396" s="181" t="s">
        <v>527</v>
      </c>
      <c r="G396" s="21">
        <f>68519.18/1000</f>
        <v>68.519179999999992</v>
      </c>
      <c r="H396" s="21"/>
      <c r="I396" s="181"/>
      <c r="J396" s="27"/>
      <c r="L396" s="17"/>
    </row>
    <row r="397" spans="1:14" s="3" customFormat="1" ht="29.25" customHeight="1" x14ac:dyDescent="0.25">
      <c r="A397" s="222"/>
      <c r="B397" s="223" t="s">
        <v>115</v>
      </c>
      <c r="C397" s="223"/>
      <c r="D397" s="184" t="s">
        <v>13</v>
      </c>
      <c r="E397" s="181">
        <f t="shared" ref="E397:E400" si="32">G397</f>
        <v>74.195179999999993</v>
      </c>
      <c r="F397" s="178" t="s">
        <v>13</v>
      </c>
      <c r="G397" s="181">
        <v>74.195179999999993</v>
      </c>
      <c r="H397" s="203">
        <f t="shared" ref="H397:H400" si="33">J397</f>
        <v>74.195179999999993</v>
      </c>
      <c r="I397" s="184" t="s">
        <v>13</v>
      </c>
      <c r="J397" s="209">
        <v>74.195179999999993</v>
      </c>
      <c r="L397" s="11"/>
    </row>
    <row r="398" spans="1:14" s="3" customFormat="1" ht="15" customHeight="1" x14ac:dyDescent="0.25">
      <c r="A398" s="222"/>
      <c r="B398" s="238" t="s">
        <v>133</v>
      </c>
      <c r="C398" s="238"/>
      <c r="D398" s="180" t="s">
        <v>13</v>
      </c>
      <c r="E398" s="177">
        <f t="shared" si="32"/>
        <v>153.33672000000001</v>
      </c>
      <c r="F398" s="174" t="s">
        <v>13</v>
      </c>
      <c r="G398" s="177">
        <v>153.33672000000001</v>
      </c>
      <c r="H398" s="199">
        <f t="shared" si="33"/>
        <v>153.33672000000001</v>
      </c>
      <c r="I398" s="180" t="s">
        <v>13</v>
      </c>
      <c r="J398" s="207">
        <v>153.33672000000001</v>
      </c>
      <c r="L398" s="11">
        <f>G398</f>
        <v>153.33672000000001</v>
      </c>
    </row>
    <row r="399" spans="1:14" s="3" customFormat="1" ht="15" customHeight="1" x14ac:dyDescent="0.25">
      <c r="A399" s="222"/>
      <c r="B399" s="223" t="s">
        <v>223</v>
      </c>
      <c r="C399" s="223"/>
      <c r="D399" s="184" t="s">
        <v>13</v>
      </c>
      <c r="E399" s="181">
        <f t="shared" si="32"/>
        <v>148.39036999999999</v>
      </c>
      <c r="F399" s="178" t="s">
        <v>13</v>
      </c>
      <c r="G399" s="181">
        <f>148390.37/1000</f>
        <v>148.39036999999999</v>
      </c>
      <c r="H399" s="203">
        <f t="shared" si="33"/>
        <v>148.39036999999999</v>
      </c>
      <c r="I399" s="178" t="s">
        <v>13</v>
      </c>
      <c r="J399" s="209">
        <f>148390.37/1000</f>
        <v>148.39036999999999</v>
      </c>
      <c r="L399" s="11"/>
    </row>
    <row r="400" spans="1:14" s="3" customFormat="1" ht="15.75" customHeight="1" x14ac:dyDescent="0.25">
      <c r="A400" s="222"/>
      <c r="B400" s="238" t="s">
        <v>258</v>
      </c>
      <c r="C400" s="238"/>
      <c r="D400" s="180" t="s">
        <v>13</v>
      </c>
      <c r="E400" s="177">
        <f t="shared" si="32"/>
        <v>153.33672000000001</v>
      </c>
      <c r="F400" s="174" t="s">
        <v>13</v>
      </c>
      <c r="G400" s="177">
        <f>153336.72/1000</f>
        <v>153.33672000000001</v>
      </c>
      <c r="H400" s="199">
        <f t="shared" si="33"/>
        <v>153.33672000000001</v>
      </c>
      <c r="I400" s="174" t="s">
        <v>13</v>
      </c>
      <c r="J400" s="207">
        <f>153336.72/1000</f>
        <v>153.33672000000001</v>
      </c>
      <c r="L400" s="11"/>
    </row>
    <row r="401" spans="1:14" s="3" customFormat="1" ht="15.75" customHeight="1" x14ac:dyDescent="0.25">
      <c r="A401" s="222"/>
      <c r="B401" s="237" t="s">
        <v>350</v>
      </c>
      <c r="C401" s="237"/>
      <c r="D401" s="183" t="s">
        <v>13</v>
      </c>
      <c r="E401" s="176">
        <f>G401</f>
        <v>813.30943000000002</v>
      </c>
      <c r="F401" s="173" t="s">
        <v>13</v>
      </c>
      <c r="G401" s="176">
        <f>813309.43/1000</f>
        <v>813.30943000000002</v>
      </c>
      <c r="H401" s="198">
        <f>J401</f>
        <v>813.30943000000002</v>
      </c>
      <c r="I401" s="178" t="s">
        <v>13</v>
      </c>
      <c r="J401" s="116">
        <f>813309.43/1000</f>
        <v>813.30943000000002</v>
      </c>
      <c r="L401" s="11"/>
    </row>
    <row r="402" spans="1:14" s="3" customFormat="1" ht="15.75" customHeight="1" x14ac:dyDescent="0.25">
      <c r="A402" s="222"/>
      <c r="B402" s="223" t="s">
        <v>543</v>
      </c>
      <c r="C402" s="223"/>
      <c r="D402" s="58"/>
      <c r="E402" s="55">
        <f>+G402</f>
        <v>507.72692999999998</v>
      </c>
      <c r="F402" s="178" t="s">
        <v>13</v>
      </c>
      <c r="G402" s="55">
        <f>(463169.93+44557)/1000</f>
        <v>507.72692999999998</v>
      </c>
      <c r="H402" s="198">
        <f t="shared" ref="H402:H404" si="34">J402</f>
        <v>507.72692999999998</v>
      </c>
      <c r="I402" s="178" t="s">
        <v>13</v>
      </c>
      <c r="J402" s="55">
        <f>(463169.93+44557)/1000</f>
        <v>507.72692999999998</v>
      </c>
      <c r="L402" s="11"/>
    </row>
    <row r="403" spans="1:14" s="3" customFormat="1" ht="15.75" customHeight="1" x14ac:dyDescent="0.25">
      <c r="A403" s="222"/>
      <c r="B403" s="236" t="s">
        <v>545</v>
      </c>
      <c r="C403" s="236"/>
      <c r="D403" s="99"/>
      <c r="E403" s="100">
        <f>+G403</f>
        <v>677.32899999999995</v>
      </c>
      <c r="F403" s="178" t="s">
        <v>13</v>
      </c>
      <c r="G403" s="100">
        <f>(44557+632772)/1000</f>
        <v>677.32899999999995</v>
      </c>
      <c r="H403" s="198">
        <f t="shared" si="34"/>
        <v>677.32899999999995</v>
      </c>
      <c r="I403" s="178" t="s">
        <v>13</v>
      </c>
      <c r="J403" s="100">
        <f>(44557+632772)/1000</f>
        <v>677.32899999999995</v>
      </c>
      <c r="L403" s="11"/>
    </row>
    <row r="404" spans="1:14" s="3" customFormat="1" ht="21" customHeight="1" thickBot="1" x14ac:dyDescent="0.3">
      <c r="A404" s="235"/>
      <c r="B404" s="300" t="s">
        <v>547</v>
      </c>
      <c r="C404" s="300"/>
      <c r="D404" s="190"/>
      <c r="E404" s="191">
        <f>+G404</f>
        <v>930.39648999999997</v>
      </c>
      <c r="F404" s="42" t="s">
        <v>13</v>
      </c>
      <c r="G404" s="191">
        <f>(43119.69+887276.8)/1000</f>
        <v>930.39648999999997</v>
      </c>
      <c r="H404" s="202">
        <f t="shared" si="34"/>
        <v>930.39648999999997</v>
      </c>
      <c r="I404" s="42" t="s">
        <v>13</v>
      </c>
      <c r="J404" s="191">
        <f>(43119.69+887276.8)/1000</f>
        <v>930.39648999999997</v>
      </c>
      <c r="L404" s="11"/>
    </row>
    <row r="405" spans="1:14" s="37" customFormat="1" ht="32.25" customHeight="1" x14ac:dyDescent="0.25">
      <c r="A405" s="278" t="s">
        <v>24</v>
      </c>
      <c r="B405" s="174" t="s">
        <v>111</v>
      </c>
      <c r="C405" s="174" t="s">
        <v>110</v>
      </c>
      <c r="D405" s="177">
        <v>5648.6285099999996</v>
      </c>
      <c r="E405" s="177">
        <v>403.79244</v>
      </c>
      <c r="F405" s="180" t="s">
        <v>292</v>
      </c>
      <c r="G405" s="177">
        <f>E405</f>
        <v>403.79244</v>
      </c>
      <c r="H405" s="199"/>
      <c r="I405" s="170"/>
      <c r="J405" s="207"/>
    </row>
    <row r="406" spans="1:14" s="37" customFormat="1" ht="41.25" customHeight="1" thickBot="1" x14ac:dyDescent="0.3">
      <c r="A406" s="279"/>
      <c r="B406" s="42" t="s">
        <v>48</v>
      </c>
      <c r="C406" s="42" t="s">
        <v>95</v>
      </c>
      <c r="D406" s="43"/>
      <c r="E406" s="43">
        <f>+G406</f>
        <v>88.874720799999992</v>
      </c>
      <c r="F406" s="42" t="s">
        <v>273</v>
      </c>
      <c r="G406" s="43">
        <f>75317.56*1.18/1000</f>
        <v>88.874720799999992</v>
      </c>
      <c r="H406" s="43"/>
      <c r="I406" s="44"/>
      <c r="J406" s="45"/>
      <c r="K406" s="46">
        <f>G406</f>
        <v>88.874720799999992</v>
      </c>
    </row>
    <row r="407" spans="1:14" s="37" customFormat="1" ht="44.25" customHeight="1" thickBot="1" x14ac:dyDescent="0.3">
      <c r="A407" s="65" t="s">
        <v>56</v>
      </c>
      <c r="B407" s="30" t="s">
        <v>102</v>
      </c>
      <c r="C407" s="31" t="s">
        <v>112</v>
      </c>
      <c r="D407" s="32">
        <v>1914.41255</v>
      </c>
      <c r="E407" s="33">
        <v>1033.0551800000001</v>
      </c>
      <c r="F407" s="34" t="s">
        <v>293</v>
      </c>
      <c r="G407" s="35">
        <f>E407</f>
        <v>1033.0551800000001</v>
      </c>
      <c r="H407" s="205"/>
      <c r="I407" s="34"/>
      <c r="J407" s="36"/>
    </row>
    <row r="408" spans="1:14" s="3" customFormat="1" ht="28.5" x14ac:dyDescent="0.25">
      <c r="A408" s="232" t="s">
        <v>25</v>
      </c>
      <c r="B408" s="223" t="s">
        <v>118</v>
      </c>
      <c r="C408" s="223" t="s">
        <v>117</v>
      </c>
      <c r="D408" s="224">
        <v>118900</v>
      </c>
      <c r="E408" s="280">
        <f>+G408+G409+G410+G411+G412</f>
        <v>35882.597629999997</v>
      </c>
      <c r="F408" s="51" t="s">
        <v>294</v>
      </c>
      <c r="G408" s="25">
        <v>20711.781309999998</v>
      </c>
      <c r="H408" s="282">
        <f>J408+J409+J410+J411+J412+J413+J414+J415</f>
        <v>42393.168520000007</v>
      </c>
      <c r="I408" s="25" t="s">
        <v>154</v>
      </c>
      <c r="J408" s="206">
        <f>1973431*1.18/1000</f>
        <v>2328.64858</v>
      </c>
      <c r="K408" s="11">
        <f>E408</f>
        <v>35882.597629999997</v>
      </c>
    </row>
    <row r="409" spans="1:14" s="3" customFormat="1" ht="28.5" x14ac:dyDescent="0.25">
      <c r="A409" s="220"/>
      <c r="B409" s="223"/>
      <c r="C409" s="223"/>
      <c r="D409" s="224"/>
      <c r="E409" s="257"/>
      <c r="F409" s="50" t="s">
        <v>138</v>
      </c>
      <c r="G409" s="14">
        <v>2328.64858</v>
      </c>
      <c r="H409" s="240"/>
      <c r="I409" s="47" t="s">
        <v>161</v>
      </c>
      <c r="J409" s="209">
        <f>4318436*1.18/1000</f>
        <v>5095.7544799999996</v>
      </c>
      <c r="L409" s="12">
        <f>G409</f>
        <v>2328.64858</v>
      </c>
    </row>
    <row r="410" spans="1:14" s="3" customFormat="1" ht="28.5" x14ac:dyDescent="0.25">
      <c r="A410" s="220"/>
      <c r="B410" s="223"/>
      <c r="C410" s="223"/>
      <c r="D410" s="224"/>
      <c r="E410" s="257"/>
      <c r="F410" s="50" t="s">
        <v>229</v>
      </c>
      <c r="G410" s="14">
        <f>2713115/1000</f>
        <v>2713.1149999999998</v>
      </c>
      <c r="H410" s="240"/>
      <c r="I410" s="47" t="s">
        <v>166</v>
      </c>
      <c r="J410" s="209">
        <f>2299250*1.18/1000</f>
        <v>2713.1149999999998</v>
      </c>
    </row>
    <row r="411" spans="1:14" s="3" customFormat="1" ht="53.25" customHeight="1" x14ac:dyDescent="0.25">
      <c r="A411" s="220"/>
      <c r="B411" s="223"/>
      <c r="C411" s="223"/>
      <c r="D411" s="224"/>
      <c r="E411" s="257"/>
      <c r="F411" s="50" t="s">
        <v>228</v>
      </c>
      <c r="G411" s="14">
        <f>5095754.48/1000</f>
        <v>5095.7544800000005</v>
      </c>
      <c r="H411" s="240"/>
      <c r="I411" s="47" t="s">
        <v>327</v>
      </c>
      <c r="J411" s="209">
        <f>4265507*1.18/1000</f>
        <v>5033.2982599999996</v>
      </c>
    </row>
    <row r="412" spans="1:14" s="3" customFormat="1" ht="62.25" customHeight="1" x14ac:dyDescent="0.25">
      <c r="A412" s="220"/>
      <c r="B412" s="223"/>
      <c r="C412" s="223"/>
      <c r="D412" s="224"/>
      <c r="E412" s="281"/>
      <c r="F412" s="50" t="s">
        <v>333</v>
      </c>
      <c r="G412" s="14">
        <f>5033298.26/1000</f>
        <v>5033.2982599999996</v>
      </c>
      <c r="H412" s="240"/>
      <c r="I412" s="47" t="s">
        <v>413</v>
      </c>
      <c r="J412" s="209">
        <f>10860599*1.18/1000</f>
        <v>12815.506819999999</v>
      </c>
      <c r="N412" s="11"/>
    </row>
    <row r="413" spans="1:14" s="3" customFormat="1" ht="30" customHeight="1" x14ac:dyDescent="0.25">
      <c r="A413" s="220"/>
      <c r="B413" s="223"/>
      <c r="C413" s="223"/>
      <c r="D413" s="224"/>
      <c r="E413" s="54">
        <f>+G413</f>
        <v>12815.506820000001</v>
      </c>
      <c r="F413" s="50" t="s">
        <v>471</v>
      </c>
      <c r="G413" s="14">
        <f>12815506.82/1000</f>
        <v>12815.506820000001</v>
      </c>
      <c r="H413" s="240"/>
      <c r="I413" s="47" t="s">
        <v>592</v>
      </c>
      <c r="J413" s="209">
        <f>8474042*1.18/1000</f>
        <v>9999.3695599999992</v>
      </c>
      <c r="N413" s="11"/>
    </row>
    <row r="414" spans="1:14" s="3" customFormat="1" ht="30" customHeight="1" x14ac:dyDescent="0.25">
      <c r="A414" s="220"/>
      <c r="B414" s="223"/>
      <c r="C414" s="223"/>
      <c r="D414" s="224"/>
      <c r="E414" s="54">
        <f>+G414</f>
        <v>2399.63148</v>
      </c>
      <c r="F414" s="50" t="s">
        <v>522</v>
      </c>
      <c r="G414" s="14">
        <f>2399631.48/1000</f>
        <v>2399.63148</v>
      </c>
      <c r="H414" s="240"/>
      <c r="I414" s="47" t="s">
        <v>593</v>
      </c>
      <c r="J414" s="209">
        <f>1701563*1.18/1000</f>
        <v>2007.8443399999999</v>
      </c>
      <c r="N414" s="11"/>
    </row>
    <row r="415" spans="1:14" s="3" customFormat="1" ht="30" customHeight="1" x14ac:dyDescent="0.25">
      <c r="A415" s="220"/>
      <c r="B415" s="223"/>
      <c r="C415" s="223"/>
      <c r="D415" s="224"/>
      <c r="E415" s="54">
        <f>+G415</f>
        <v>2007.8443400000001</v>
      </c>
      <c r="F415" s="50" t="s">
        <v>523</v>
      </c>
      <c r="G415" s="14">
        <f>2007844.34/1000</f>
        <v>2007.8443400000001</v>
      </c>
      <c r="H415" s="241"/>
      <c r="I415" s="47" t="s">
        <v>594</v>
      </c>
      <c r="J415" s="209">
        <f>2033586*1.18/1000</f>
        <v>2399.63148</v>
      </c>
      <c r="N415" s="11"/>
    </row>
    <row r="416" spans="1:14" s="3" customFormat="1" ht="30" customHeight="1" x14ac:dyDescent="0.25">
      <c r="A416" s="220"/>
      <c r="B416" s="223"/>
      <c r="C416" s="223"/>
      <c r="D416" s="224"/>
      <c r="E416" s="54">
        <f>+G416</f>
        <v>9999.369560000001</v>
      </c>
      <c r="F416" s="50" t="s">
        <v>524</v>
      </c>
      <c r="G416" s="14">
        <f>9999369.56/1000</f>
        <v>9999.369560000001</v>
      </c>
      <c r="H416" s="199">
        <f>+J416</f>
        <v>95.97529999999999</v>
      </c>
      <c r="I416" s="184" t="s">
        <v>591</v>
      </c>
      <c r="J416" s="209">
        <f>81335*1.18/1000</f>
        <v>95.97529999999999</v>
      </c>
      <c r="N416" s="11"/>
    </row>
    <row r="417" spans="1:14" s="3" customFormat="1" ht="30" customHeight="1" x14ac:dyDescent="0.25">
      <c r="A417" s="220"/>
      <c r="B417" s="223"/>
      <c r="C417" s="223"/>
      <c r="D417" s="224"/>
      <c r="E417" s="47">
        <f>+G417</f>
        <v>4016.4615800000001</v>
      </c>
      <c r="F417" s="50" t="s">
        <v>542</v>
      </c>
      <c r="G417" s="14">
        <f>4016461.58/1000</f>
        <v>4016.4615800000001</v>
      </c>
      <c r="H417" s="203">
        <f>+J417</f>
        <v>207.92425999999998</v>
      </c>
      <c r="I417" s="184" t="s">
        <v>597</v>
      </c>
      <c r="J417" s="203">
        <f>176207*1.18/1000</f>
        <v>207.92425999999998</v>
      </c>
      <c r="N417" s="11"/>
    </row>
    <row r="418" spans="1:14" s="3" customFormat="1" ht="30" customHeight="1" x14ac:dyDescent="0.25">
      <c r="A418" s="220"/>
      <c r="B418" s="223"/>
      <c r="C418" s="223"/>
      <c r="D418" s="224"/>
      <c r="E418" s="47"/>
      <c r="F418" s="50"/>
      <c r="G418" s="14"/>
      <c r="H418" s="203">
        <f>+J418</f>
        <v>4016.4615799999997</v>
      </c>
      <c r="I418" s="184" t="s">
        <v>575</v>
      </c>
      <c r="J418" s="27">
        <f>3403781*1.18/1000</f>
        <v>4016.4615799999997</v>
      </c>
      <c r="N418" s="11"/>
    </row>
    <row r="419" spans="1:14" s="3" customFormat="1" ht="30" customHeight="1" x14ac:dyDescent="0.25">
      <c r="A419" s="220"/>
      <c r="B419" s="271" t="s">
        <v>116</v>
      </c>
      <c r="C419" s="272"/>
      <c r="D419" s="273"/>
      <c r="E419" s="14">
        <v>261.54313999999999</v>
      </c>
      <c r="F419" s="50" t="s">
        <v>13</v>
      </c>
      <c r="G419" s="14">
        <f>+E419</f>
        <v>261.54313999999999</v>
      </c>
      <c r="H419" s="203">
        <v>261.54313999999999</v>
      </c>
      <c r="I419" s="50" t="s">
        <v>13</v>
      </c>
      <c r="J419" s="209">
        <f>H419</f>
        <v>261.54313999999999</v>
      </c>
      <c r="N419" s="11"/>
    </row>
    <row r="420" spans="1:14" s="3" customFormat="1" ht="15" customHeight="1" x14ac:dyDescent="0.25">
      <c r="A420" s="220"/>
      <c r="B420" s="271" t="s">
        <v>115</v>
      </c>
      <c r="C420" s="272"/>
      <c r="D420" s="273"/>
      <c r="E420" s="14">
        <v>358.91514000000001</v>
      </c>
      <c r="F420" s="50" t="s">
        <v>13</v>
      </c>
      <c r="G420" s="14">
        <f>E420</f>
        <v>358.91514000000001</v>
      </c>
      <c r="H420" s="203">
        <v>358.91514000000001</v>
      </c>
      <c r="I420" s="50" t="s">
        <v>13</v>
      </c>
      <c r="J420" s="209">
        <f>H420</f>
        <v>358.91514000000001</v>
      </c>
      <c r="K420" s="11">
        <f>E420</f>
        <v>358.91514000000001</v>
      </c>
      <c r="N420" s="11"/>
    </row>
    <row r="421" spans="1:14" s="3" customFormat="1" ht="15" customHeight="1" x14ac:dyDescent="0.25">
      <c r="A421" s="220"/>
      <c r="B421" s="271" t="s">
        <v>133</v>
      </c>
      <c r="C421" s="272"/>
      <c r="D421" s="273"/>
      <c r="E421" s="14">
        <f>+H421</f>
        <v>435.89622000000003</v>
      </c>
      <c r="F421" s="50" t="s">
        <v>13</v>
      </c>
      <c r="G421" s="14">
        <f>E421</f>
        <v>435.89622000000003</v>
      </c>
      <c r="H421" s="203">
        <v>435.89622000000003</v>
      </c>
      <c r="I421" s="50" t="s">
        <v>13</v>
      </c>
      <c r="J421" s="209">
        <f>H421</f>
        <v>435.89622000000003</v>
      </c>
      <c r="L421" s="11">
        <f>G421</f>
        <v>435.89622000000003</v>
      </c>
    </row>
    <row r="422" spans="1:14" s="3" customFormat="1" ht="15.75" customHeight="1" x14ac:dyDescent="0.25">
      <c r="A422" s="220"/>
      <c r="B422" s="271" t="s">
        <v>223</v>
      </c>
      <c r="C422" s="272"/>
      <c r="D422" s="273"/>
      <c r="E422" s="14">
        <f t="shared" ref="E422:E423" si="35">G422</f>
        <v>466.81409000000002</v>
      </c>
      <c r="F422" s="50" t="s">
        <v>13</v>
      </c>
      <c r="G422" s="14">
        <f>466814.09/1000</f>
        <v>466.81409000000002</v>
      </c>
      <c r="H422" s="203">
        <f t="shared" ref="H422:H423" si="36">J422</f>
        <v>466.81409000000002</v>
      </c>
      <c r="I422" s="50" t="s">
        <v>13</v>
      </c>
      <c r="J422" s="209">
        <f>466814.09/1000</f>
        <v>466.81409000000002</v>
      </c>
      <c r="L422" s="11"/>
    </row>
    <row r="423" spans="1:14" s="3" customFormat="1" ht="15.75" customHeight="1" x14ac:dyDescent="0.25">
      <c r="A423" s="220"/>
      <c r="B423" s="271" t="s">
        <v>258</v>
      </c>
      <c r="C423" s="272"/>
      <c r="D423" s="273"/>
      <c r="E423" s="14">
        <f t="shared" si="35"/>
        <v>507.84676000000002</v>
      </c>
      <c r="F423" s="50" t="s">
        <v>13</v>
      </c>
      <c r="G423" s="14">
        <f>507846.76/1000</f>
        <v>507.84676000000002</v>
      </c>
      <c r="H423" s="203">
        <f t="shared" si="36"/>
        <v>507.84676000000002</v>
      </c>
      <c r="I423" s="50" t="s">
        <v>13</v>
      </c>
      <c r="J423" s="209">
        <f>507846.76/1000</f>
        <v>507.84676000000002</v>
      </c>
      <c r="L423" s="11"/>
    </row>
    <row r="424" spans="1:14" s="3" customFormat="1" ht="15.75" customHeight="1" x14ac:dyDescent="0.25">
      <c r="A424" s="220"/>
      <c r="B424" s="223" t="s">
        <v>350</v>
      </c>
      <c r="C424" s="223"/>
      <c r="D424" s="223"/>
      <c r="E424" s="14">
        <f>G424</f>
        <v>477.15111000000002</v>
      </c>
      <c r="F424" s="50" t="s">
        <v>13</v>
      </c>
      <c r="G424" s="14">
        <f>10337.02/1000+466814.09/1000</f>
        <v>477.15111000000002</v>
      </c>
      <c r="H424" s="203">
        <f>J424</f>
        <v>477.15111000000002</v>
      </c>
      <c r="I424" s="50" t="s">
        <v>13</v>
      </c>
      <c r="J424" s="203">
        <f>10337.02/1000+466814.09/1000</f>
        <v>477.15111000000002</v>
      </c>
      <c r="L424" s="11"/>
    </row>
    <row r="425" spans="1:14" s="3" customFormat="1" ht="15.75" customHeight="1" x14ac:dyDescent="0.25">
      <c r="A425" s="220"/>
      <c r="B425" s="297" t="s">
        <v>543</v>
      </c>
      <c r="C425" s="298"/>
      <c r="D425" s="299"/>
      <c r="E425" s="100">
        <f>+G425</f>
        <v>597.40944999999999</v>
      </c>
      <c r="F425" s="118" t="s">
        <v>544</v>
      </c>
      <c r="G425" s="100">
        <f>(557353.5+40055.95)/1000</f>
        <v>597.40944999999999</v>
      </c>
      <c r="H425" s="203">
        <f t="shared" ref="H425:H427" si="37">J425</f>
        <v>597.40944999999999</v>
      </c>
      <c r="I425" s="167" t="s">
        <v>13</v>
      </c>
      <c r="J425" s="100">
        <f>(557353.5+40055.95)/1000</f>
        <v>597.40944999999999</v>
      </c>
      <c r="L425" s="11"/>
    </row>
    <row r="426" spans="1:14" s="3" customFormat="1" ht="15.75" customHeight="1" x14ac:dyDescent="0.25">
      <c r="A426" s="220"/>
      <c r="B426" s="297" t="s">
        <v>545</v>
      </c>
      <c r="C426" s="298"/>
      <c r="D426" s="299"/>
      <c r="E426" s="119">
        <f>+G426</f>
        <v>732.70776999999998</v>
      </c>
      <c r="F426" s="118" t="s">
        <v>544</v>
      </c>
      <c r="G426" s="119">
        <f>(122547.09+610160.68)/1000</f>
        <v>732.70776999999998</v>
      </c>
      <c r="H426" s="203">
        <f t="shared" si="37"/>
        <v>732.70776999999998</v>
      </c>
      <c r="I426" s="167" t="s">
        <v>13</v>
      </c>
      <c r="J426" s="119">
        <f>(122547.09+610160.68)/1000</f>
        <v>732.70776999999998</v>
      </c>
      <c r="L426" s="11"/>
    </row>
    <row r="427" spans="1:14" s="3" customFormat="1" ht="21.75" customHeight="1" thickBot="1" x14ac:dyDescent="0.3">
      <c r="A427" s="220"/>
      <c r="B427" s="297" t="s">
        <v>547</v>
      </c>
      <c r="C427" s="298"/>
      <c r="D427" s="299"/>
      <c r="E427" s="100">
        <f>+G427</f>
        <v>747.91589999999985</v>
      </c>
      <c r="F427" s="118" t="s">
        <v>544</v>
      </c>
      <c r="G427" s="100">
        <f>(157437.83+590478.07)/1000</f>
        <v>747.91589999999985</v>
      </c>
      <c r="H427" s="203">
        <f t="shared" si="37"/>
        <v>747.91589999999985</v>
      </c>
      <c r="I427" s="167" t="s">
        <v>13</v>
      </c>
      <c r="J427" s="100">
        <f>(157437.83+590478.07)/1000</f>
        <v>747.91589999999985</v>
      </c>
      <c r="L427" s="11"/>
    </row>
    <row r="428" spans="1:14" s="3" customFormat="1" ht="41.25" customHeight="1" thickBot="1" x14ac:dyDescent="0.3">
      <c r="A428" s="61" t="s">
        <v>26</v>
      </c>
      <c r="B428" s="93" t="s">
        <v>114</v>
      </c>
      <c r="C428" s="93" t="s">
        <v>113</v>
      </c>
      <c r="D428" s="95">
        <v>5063.8994000000002</v>
      </c>
      <c r="E428" s="94">
        <v>309.77654000000001</v>
      </c>
      <c r="F428" s="93" t="s">
        <v>295</v>
      </c>
      <c r="G428" s="94">
        <f>E428</f>
        <v>309.77654000000001</v>
      </c>
      <c r="H428" s="94"/>
      <c r="I428" s="95"/>
      <c r="J428" s="96"/>
    </row>
    <row r="429" spans="1:14" s="3" customFormat="1" ht="28.5" x14ac:dyDescent="0.25">
      <c r="A429" s="220" t="s">
        <v>230</v>
      </c>
      <c r="B429" s="52" t="s">
        <v>248</v>
      </c>
      <c r="C429" s="52" t="s">
        <v>233</v>
      </c>
      <c r="D429" s="54">
        <v>770</v>
      </c>
      <c r="E429" s="15">
        <f>G429</f>
        <v>750.75</v>
      </c>
      <c r="F429" s="52" t="s">
        <v>231</v>
      </c>
      <c r="G429" s="15">
        <f>750750/1000</f>
        <v>750.75</v>
      </c>
      <c r="H429" s="199">
        <v>770</v>
      </c>
      <c r="I429" s="54" t="s">
        <v>414</v>
      </c>
      <c r="J429" s="207">
        <v>770</v>
      </c>
      <c r="K429" s="11">
        <f>E429</f>
        <v>750.75</v>
      </c>
    </row>
    <row r="430" spans="1:14" s="3" customFormat="1" ht="34.5" customHeight="1" x14ac:dyDescent="0.25">
      <c r="A430" s="220"/>
      <c r="B430" s="236" t="s">
        <v>234</v>
      </c>
      <c r="C430" s="236" t="s">
        <v>232</v>
      </c>
      <c r="D430" s="283">
        <v>76117.5</v>
      </c>
      <c r="E430" s="14">
        <f>G430</f>
        <v>4622.3007600000001</v>
      </c>
      <c r="F430" s="50" t="s">
        <v>126</v>
      </c>
      <c r="G430" s="14">
        <f>4622300.76/1000</f>
        <v>4622.3007600000001</v>
      </c>
      <c r="H430" s="203"/>
      <c r="I430" s="47"/>
      <c r="J430" s="209"/>
      <c r="K430" s="11"/>
    </row>
    <row r="431" spans="1:14" s="3" customFormat="1" ht="39" customHeight="1" thickBot="1" x14ac:dyDescent="0.3">
      <c r="A431" s="221"/>
      <c r="B431" s="275"/>
      <c r="C431" s="275"/>
      <c r="D431" s="284"/>
      <c r="E431" s="32">
        <f>G431</f>
        <v>2988.9314199999999</v>
      </c>
      <c r="F431" s="50" t="s">
        <v>126</v>
      </c>
      <c r="G431" s="32">
        <v>2988.9314199999999</v>
      </c>
      <c r="H431" s="198"/>
      <c r="I431" s="53"/>
      <c r="J431" s="116"/>
      <c r="K431" s="11"/>
    </row>
    <row r="432" spans="1:14" s="3" customFormat="1" ht="39" customHeight="1" x14ac:dyDescent="0.25">
      <c r="A432" s="233" t="s">
        <v>23</v>
      </c>
      <c r="B432" s="270" t="s">
        <v>98</v>
      </c>
      <c r="C432" s="270" t="s">
        <v>86</v>
      </c>
      <c r="D432" s="282">
        <v>122.04089999999999</v>
      </c>
      <c r="E432" s="39">
        <v>48.816360000000003</v>
      </c>
      <c r="F432" s="40" t="s">
        <v>296</v>
      </c>
      <c r="G432" s="39">
        <f t="shared" si="27"/>
        <v>48.816360000000003</v>
      </c>
      <c r="H432" s="39"/>
      <c r="I432" s="40"/>
      <c r="J432" s="41"/>
      <c r="K432" s="11"/>
    </row>
    <row r="433" spans="1:12" s="3" customFormat="1" ht="28.5" customHeight="1" x14ac:dyDescent="0.25">
      <c r="A433" s="222"/>
      <c r="B433" s="238"/>
      <c r="C433" s="238"/>
      <c r="D433" s="241"/>
      <c r="E433" s="16">
        <f>G433</f>
        <v>24.408182</v>
      </c>
      <c r="F433" s="25" t="s">
        <v>314</v>
      </c>
      <c r="G433" s="14">
        <f>20684.9*1.18/1000</f>
        <v>24.408182</v>
      </c>
      <c r="H433" s="120">
        <f>J433</f>
        <v>24.408182</v>
      </c>
      <c r="I433" s="25" t="s">
        <v>415</v>
      </c>
      <c r="J433" s="206">
        <f>20684.9*1.18/1000</f>
        <v>24.408182</v>
      </c>
      <c r="K433" s="11">
        <f t="shared" ref="K433:K439" si="38">E433</f>
        <v>24.408182</v>
      </c>
    </row>
    <row r="434" spans="1:12" s="3" customFormat="1" ht="28.5" x14ac:dyDescent="0.25">
      <c r="A434" s="222"/>
      <c r="B434" s="236" t="s">
        <v>99</v>
      </c>
      <c r="C434" s="236" t="s">
        <v>87</v>
      </c>
      <c r="D434" s="244">
        <v>2299.1916099999999</v>
      </c>
      <c r="E434" s="14">
        <v>1302.9100000000001</v>
      </c>
      <c r="F434" s="47" t="s">
        <v>297</v>
      </c>
      <c r="G434" s="14">
        <f t="shared" si="27"/>
        <v>1302.9100000000001</v>
      </c>
      <c r="H434" s="203"/>
      <c r="I434" s="47"/>
      <c r="J434" s="209"/>
      <c r="K434" s="11">
        <f t="shared" si="38"/>
        <v>1302.9100000000001</v>
      </c>
    </row>
    <row r="435" spans="1:12" s="3" customFormat="1" ht="28.5" x14ac:dyDescent="0.25">
      <c r="A435" s="222"/>
      <c r="B435" s="237"/>
      <c r="C435" s="237"/>
      <c r="D435" s="245"/>
      <c r="E435" s="14">
        <v>230.3</v>
      </c>
      <c r="F435" s="47" t="s">
        <v>298</v>
      </c>
      <c r="G435" s="14">
        <f t="shared" si="27"/>
        <v>230.3</v>
      </c>
      <c r="H435" s="203"/>
      <c r="I435" s="47"/>
      <c r="J435" s="209"/>
      <c r="K435" s="11">
        <f t="shared" si="38"/>
        <v>230.3</v>
      </c>
    </row>
    <row r="436" spans="1:12" s="3" customFormat="1" ht="28.5" x14ac:dyDescent="0.25">
      <c r="A436" s="222"/>
      <c r="B436" s="237"/>
      <c r="C436" s="237"/>
      <c r="D436" s="245"/>
      <c r="E436" s="14">
        <f>G436</f>
        <v>30.87</v>
      </c>
      <c r="F436" s="25" t="s">
        <v>312</v>
      </c>
      <c r="G436" s="14">
        <v>30.87</v>
      </c>
      <c r="H436" s="203"/>
      <c r="I436" s="47"/>
      <c r="J436" s="209"/>
      <c r="K436" s="11">
        <f t="shared" si="38"/>
        <v>30.87</v>
      </c>
    </row>
    <row r="437" spans="1:12" s="3" customFormat="1" ht="28.5" x14ac:dyDescent="0.25">
      <c r="A437" s="222"/>
      <c r="B437" s="238"/>
      <c r="C437" s="238"/>
      <c r="D437" s="246"/>
      <c r="E437" s="14">
        <f>G437</f>
        <v>220.01</v>
      </c>
      <c r="F437" s="25" t="s">
        <v>312</v>
      </c>
      <c r="G437" s="14">
        <v>220.01</v>
      </c>
      <c r="H437" s="203"/>
      <c r="I437" s="47"/>
      <c r="J437" s="209"/>
      <c r="K437" s="11">
        <f t="shared" si="38"/>
        <v>220.01</v>
      </c>
    </row>
    <row r="438" spans="1:12" s="3" customFormat="1" ht="28.5" x14ac:dyDescent="0.25">
      <c r="A438" s="222"/>
      <c r="B438" s="236" t="s">
        <v>53</v>
      </c>
      <c r="C438" s="236" t="s">
        <v>88</v>
      </c>
      <c r="D438" s="239">
        <v>10530.802799999999</v>
      </c>
      <c r="E438" s="14">
        <v>709.09860000000003</v>
      </c>
      <c r="F438" s="47" t="s">
        <v>299</v>
      </c>
      <c r="G438" s="14">
        <f t="shared" si="27"/>
        <v>709.09860000000003</v>
      </c>
      <c r="H438" s="203"/>
      <c r="I438" s="14"/>
      <c r="J438" s="209"/>
      <c r="K438" s="11">
        <f t="shared" si="38"/>
        <v>709.09860000000003</v>
      </c>
    </row>
    <row r="439" spans="1:12" s="3" customFormat="1" ht="28.5" x14ac:dyDescent="0.25">
      <c r="A439" s="222"/>
      <c r="B439" s="237"/>
      <c r="C439" s="237"/>
      <c r="D439" s="240"/>
      <c r="E439" s="14">
        <v>2514.6086100000002</v>
      </c>
      <c r="F439" s="47" t="s">
        <v>300</v>
      </c>
      <c r="G439" s="14">
        <f t="shared" si="27"/>
        <v>2514.6086100000002</v>
      </c>
      <c r="H439" s="203"/>
      <c r="I439" s="14"/>
      <c r="J439" s="209"/>
      <c r="K439" s="11">
        <f t="shared" si="38"/>
        <v>2514.6086100000002</v>
      </c>
    </row>
    <row r="440" spans="1:12" s="3" customFormat="1" ht="28.5" x14ac:dyDescent="0.25">
      <c r="A440" s="222"/>
      <c r="B440" s="238"/>
      <c r="C440" s="238"/>
      <c r="D440" s="241"/>
      <c r="E440" s="14">
        <f>+G440</f>
        <v>1456.5965799999999</v>
      </c>
      <c r="F440" s="47" t="s">
        <v>313</v>
      </c>
      <c r="G440" s="14">
        <v>1456.5965799999999</v>
      </c>
      <c r="H440" s="203"/>
      <c r="I440" s="14"/>
      <c r="J440" s="209"/>
      <c r="L440" s="11">
        <f>G440</f>
        <v>1456.5965799999999</v>
      </c>
    </row>
    <row r="441" spans="1:12" s="1" customFormat="1" ht="28.5" x14ac:dyDescent="0.25">
      <c r="A441" s="222"/>
      <c r="B441" s="50" t="s">
        <v>100</v>
      </c>
      <c r="C441" s="50" t="s">
        <v>89</v>
      </c>
      <c r="D441" s="14">
        <v>229.43799999999999</v>
      </c>
      <c r="E441" s="14">
        <v>229.43799999999999</v>
      </c>
      <c r="F441" s="47" t="s">
        <v>301</v>
      </c>
      <c r="G441" s="14">
        <f t="shared" si="27"/>
        <v>229.43799999999999</v>
      </c>
      <c r="H441" s="203"/>
      <c r="I441" s="14"/>
      <c r="J441" s="209"/>
      <c r="K441" s="4">
        <f>E441</f>
        <v>229.43799999999999</v>
      </c>
    </row>
    <row r="442" spans="1:12" s="1" customFormat="1" ht="28.5" x14ac:dyDescent="0.25">
      <c r="A442" s="222"/>
      <c r="B442" s="236" t="s">
        <v>101</v>
      </c>
      <c r="C442" s="236" t="s">
        <v>90</v>
      </c>
      <c r="D442" s="236">
        <v>5559.05</v>
      </c>
      <c r="E442" s="14">
        <v>2495.9578700000002</v>
      </c>
      <c r="F442" s="47" t="s">
        <v>302</v>
      </c>
      <c r="G442" s="14">
        <f t="shared" si="27"/>
        <v>2495.9578700000002</v>
      </c>
      <c r="H442" s="203"/>
      <c r="I442" s="47"/>
      <c r="J442" s="209"/>
      <c r="L442" s="4">
        <f>G442</f>
        <v>2495.9578700000002</v>
      </c>
    </row>
    <row r="443" spans="1:12" s="1" customFormat="1" ht="28.5" x14ac:dyDescent="0.25">
      <c r="A443" s="222"/>
      <c r="B443" s="237"/>
      <c r="C443" s="237"/>
      <c r="D443" s="237"/>
      <c r="E443" s="14">
        <v>602.62027</v>
      </c>
      <c r="F443" s="25" t="s">
        <v>303</v>
      </c>
      <c r="G443" s="14">
        <f t="shared" si="27"/>
        <v>602.62027</v>
      </c>
      <c r="H443" s="203">
        <v>602.62026519999995</v>
      </c>
      <c r="I443" s="25" t="s">
        <v>150</v>
      </c>
      <c r="J443" s="206">
        <f>510695.14*1.18/1000</f>
        <v>602.62026520000006</v>
      </c>
      <c r="K443" s="4">
        <f>E443</f>
        <v>602.62027</v>
      </c>
    </row>
    <row r="444" spans="1:12" s="1" customFormat="1" ht="28.5" x14ac:dyDescent="0.25">
      <c r="A444" s="222"/>
      <c r="B444" s="237"/>
      <c r="C444" s="237"/>
      <c r="D444" s="237"/>
      <c r="E444" s="16"/>
      <c r="F444" s="25"/>
      <c r="G444" s="16"/>
      <c r="H444" s="240">
        <f>J444+J445</f>
        <v>835.27005639999993</v>
      </c>
      <c r="I444" s="25" t="s">
        <v>416</v>
      </c>
      <c r="J444" s="206">
        <f>220162.93*1.18/1000</f>
        <v>259.79225739999998</v>
      </c>
      <c r="K444" s="4">
        <f>E444</f>
        <v>0</v>
      </c>
    </row>
    <row r="445" spans="1:12" s="1" customFormat="1" ht="28.5" x14ac:dyDescent="0.25">
      <c r="A445" s="222"/>
      <c r="B445" s="238"/>
      <c r="C445" s="238"/>
      <c r="D445" s="238"/>
      <c r="E445" s="16"/>
      <c r="F445" s="25"/>
      <c r="G445" s="16"/>
      <c r="H445" s="241"/>
      <c r="I445" s="25" t="s">
        <v>416</v>
      </c>
      <c r="J445" s="206">
        <f>487693.05*1.18/1000</f>
        <v>575.477799</v>
      </c>
      <c r="L445" s="4">
        <f>G445</f>
        <v>0</v>
      </c>
    </row>
    <row r="446" spans="1:12" s="1" customFormat="1" ht="28.5" x14ac:dyDescent="0.25">
      <c r="A446" s="222"/>
      <c r="B446" s="236" t="s">
        <v>101</v>
      </c>
      <c r="C446" s="236" t="s">
        <v>91</v>
      </c>
      <c r="D446" s="236">
        <v>4018.319</v>
      </c>
      <c r="E446" s="14">
        <v>2430.85437</v>
      </c>
      <c r="F446" s="25" t="s">
        <v>304</v>
      </c>
      <c r="G446" s="14">
        <f t="shared" si="27"/>
        <v>2430.85437</v>
      </c>
      <c r="H446" s="197"/>
      <c r="I446" s="25"/>
      <c r="J446" s="206"/>
      <c r="K446" s="4">
        <f>E446</f>
        <v>2430.85437</v>
      </c>
    </row>
    <row r="447" spans="1:12" s="1" customFormat="1" ht="28.5" x14ac:dyDescent="0.25">
      <c r="A447" s="222"/>
      <c r="B447" s="237"/>
      <c r="C447" s="237"/>
      <c r="D447" s="237"/>
      <c r="E447" s="14">
        <v>808.95973000000004</v>
      </c>
      <c r="F447" s="25" t="s">
        <v>305</v>
      </c>
      <c r="G447" s="14">
        <f t="shared" si="27"/>
        <v>808.95973000000004</v>
      </c>
      <c r="H447" s="197">
        <f>J447</f>
        <v>808.95972619999986</v>
      </c>
      <c r="I447" s="25" t="s">
        <v>151</v>
      </c>
      <c r="J447" s="206">
        <f>685559.09*1.18/1000</f>
        <v>808.95972619999986</v>
      </c>
      <c r="K447" s="4">
        <f>E447</f>
        <v>808.95973000000004</v>
      </c>
    </row>
    <row r="448" spans="1:12" s="1" customFormat="1" ht="28.5" x14ac:dyDescent="0.25">
      <c r="A448" s="222"/>
      <c r="B448" s="238"/>
      <c r="C448" s="238"/>
      <c r="D448" s="238"/>
      <c r="E448" s="14"/>
      <c r="F448" s="25"/>
      <c r="G448" s="14"/>
      <c r="H448" s="197">
        <f>J448</f>
        <v>398.30992040000001</v>
      </c>
      <c r="I448" s="25" t="s">
        <v>416</v>
      </c>
      <c r="J448" s="206">
        <f>337550.78*1.18/1000</f>
        <v>398.30992040000001</v>
      </c>
      <c r="L448" s="11">
        <f>G448</f>
        <v>0</v>
      </c>
    </row>
    <row r="449" spans="1:12" s="3" customFormat="1" ht="28.5" x14ac:dyDescent="0.25">
      <c r="A449" s="222"/>
      <c r="B449" s="236" t="s">
        <v>102</v>
      </c>
      <c r="C449" s="236" t="s">
        <v>92</v>
      </c>
      <c r="D449" s="239">
        <v>4477.5</v>
      </c>
      <c r="E449" s="14">
        <v>235.68648999999999</v>
      </c>
      <c r="F449" s="25" t="s">
        <v>306</v>
      </c>
      <c r="G449" s="14">
        <f t="shared" si="27"/>
        <v>235.68648999999999</v>
      </c>
      <c r="H449" s="197">
        <f>J449</f>
        <v>51.656187399999993</v>
      </c>
      <c r="I449" s="25" t="s">
        <v>150</v>
      </c>
      <c r="J449" s="206">
        <f>43776.43*1.18/1000</f>
        <v>51.656187399999993</v>
      </c>
      <c r="L449" s="11">
        <f>G449</f>
        <v>235.68648999999999</v>
      </c>
    </row>
    <row r="450" spans="1:12" s="1" customFormat="1" ht="28.5" x14ac:dyDescent="0.25">
      <c r="A450" s="222"/>
      <c r="B450" s="237"/>
      <c r="C450" s="237"/>
      <c r="D450" s="240"/>
      <c r="E450" s="14">
        <v>1626.2579599999999</v>
      </c>
      <c r="F450" s="25" t="s">
        <v>307</v>
      </c>
      <c r="G450" s="14">
        <f t="shared" si="27"/>
        <v>1626.2579599999999</v>
      </c>
      <c r="H450" s="197"/>
      <c r="I450" s="25"/>
      <c r="J450" s="206"/>
      <c r="L450" s="11">
        <f>G450</f>
        <v>1626.2579599999999</v>
      </c>
    </row>
    <row r="451" spans="1:12" s="1" customFormat="1" ht="28.5" x14ac:dyDescent="0.25">
      <c r="A451" s="222"/>
      <c r="B451" s="238"/>
      <c r="C451" s="238"/>
      <c r="D451" s="241"/>
      <c r="E451" s="14">
        <v>51.656190000000002</v>
      </c>
      <c r="F451" s="25" t="s">
        <v>308</v>
      </c>
      <c r="G451" s="14">
        <f t="shared" si="27"/>
        <v>51.656190000000002</v>
      </c>
      <c r="H451" s="197"/>
      <c r="I451" s="25"/>
      <c r="J451" s="206"/>
      <c r="L451" s="11">
        <f>G451</f>
        <v>51.656190000000002</v>
      </c>
    </row>
    <row r="452" spans="1:12" s="3" customFormat="1" ht="30" customHeight="1" x14ac:dyDescent="0.25">
      <c r="A452" s="222"/>
      <c r="B452" s="236" t="s">
        <v>103</v>
      </c>
      <c r="C452" s="236" t="s">
        <v>93</v>
      </c>
      <c r="D452" s="239">
        <v>3417.8249999999998</v>
      </c>
      <c r="E452" s="14">
        <v>1301.59338</v>
      </c>
      <c r="F452" s="25" t="s">
        <v>309</v>
      </c>
      <c r="G452" s="14">
        <f t="shared" si="27"/>
        <v>1301.59338</v>
      </c>
      <c r="H452" s="197">
        <f>J452</f>
        <v>386.99327199999999</v>
      </c>
      <c r="I452" s="25" t="s">
        <v>150</v>
      </c>
      <c r="J452" s="206">
        <f>327960.4*1.18/1000</f>
        <v>386.99327199999999</v>
      </c>
      <c r="L452" s="11">
        <f>G452</f>
        <v>1301.59338</v>
      </c>
    </row>
    <row r="453" spans="1:12" s="3" customFormat="1" ht="32.25" customHeight="1" x14ac:dyDescent="0.25">
      <c r="A453" s="222"/>
      <c r="B453" s="237"/>
      <c r="C453" s="237"/>
      <c r="D453" s="240"/>
      <c r="E453" s="14">
        <v>1010.78405</v>
      </c>
      <c r="F453" s="25" t="s">
        <v>310</v>
      </c>
      <c r="G453" s="14">
        <f t="shared" si="27"/>
        <v>1010.78405</v>
      </c>
      <c r="H453" s="197"/>
      <c r="I453" s="25"/>
      <c r="J453" s="206"/>
    </row>
    <row r="454" spans="1:12" s="3" customFormat="1" ht="28.5" x14ac:dyDescent="0.25">
      <c r="A454" s="222"/>
      <c r="B454" s="238"/>
      <c r="C454" s="238"/>
      <c r="D454" s="241"/>
      <c r="E454" s="14">
        <v>386.99327</v>
      </c>
      <c r="F454" s="25" t="s">
        <v>311</v>
      </c>
      <c r="G454" s="14">
        <f t="shared" si="27"/>
        <v>386.99327</v>
      </c>
      <c r="H454" s="197"/>
      <c r="I454" s="25"/>
      <c r="J454" s="206"/>
    </row>
    <row r="455" spans="1:12" s="3" customFormat="1" ht="28.5" x14ac:dyDescent="0.25">
      <c r="A455" s="222"/>
      <c r="B455" s="236" t="s">
        <v>104</v>
      </c>
      <c r="C455" s="236" t="s">
        <v>94</v>
      </c>
      <c r="D455" s="239">
        <v>6102.2672000000002</v>
      </c>
      <c r="E455" s="239">
        <f>+G455+G456+G457+G458</f>
        <v>6042.5242400000006</v>
      </c>
      <c r="F455" s="25" t="s">
        <v>237</v>
      </c>
      <c r="G455" s="14">
        <v>3209.7872000000002</v>
      </c>
      <c r="H455" s="239">
        <f>J455+J456+J457+J458</f>
        <v>2892.4799913999996</v>
      </c>
      <c r="I455" s="283" t="s">
        <v>190</v>
      </c>
      <c r="J455" s="206">
        <f>516525.42*1.18/1000</f>
        <v>609.49999559999992</v>
      </c>
    </row>
    <row r="456" spans="1:12" s="3" customFormat="1" ht="42.75" customHeight="1" x14ac:dyDescent="0.25">
      <c r="A456" s="222"/>
      <c r="B456" s="237"/>
      <c r="C456" s="237"/>
      <c r="D456" s="240"/>
      <c r="E456" s="240"/>
      <c r="F456" s="25" t="s">
        <v>236</v>
      </c>
      <c r="G456" s="14">
        <v>1012</v>
      </c>
      <c r="H456" s="240"/>
      <c r="I456" s="281"/>
      <c r="J456" s="206">
        <f>341101.69*1.18/1000</f>
        <v>402.49999419999995</v>
      </c>
    </row>
    <row r="457" spans="1:12" s="3" customFormat="1" ht="28.5" x14ac:dyDescent="0.25">
      <c r="A457" s="222"/>
      <c r="B457" s="237"/>
      <c r="C457" s="237"/>
      <c r="D457" s="240"/>
      <c r="E457" s="240"/>
      <c r="F457" s="25" t="s">
        <v>238</v>
      </c>
      <c r="G457" s="14">
        <f>718347.5/1000</f>
        <v>718.34749999999997</v>
      </c>
      <c r="H457" s="240"/>
      <c r="I457" s="25" t="s">
        <v>194</v>
      </c>
      <c r="J457" s="206">
        <f>960152.54*1.18/1000</f>
        <v>1132.9799972000001</v>
      </c>
    </row>
    <row r="458" spans="1:12" s="3" customFormat="1" ht="28.5" x14ac:dyDescent="0.25">
      <c r="A458" s="222"/>
      <c r="B458" s="237"/>
      <c r="C458" s="237"/>
      <c r="D458" s="240"/>
      <c r="E458" s="241"/>
      <c r="F458" s="25" t="s">
        <v>239</v>
      </c>
      <c r="G458" s="14">
        <f>1102389.54/1000</f>
        <v>1102.3895400000001</v>
      </c>
      <c r="H458" s="241"/>
      <c r="I458" s="25" t="s">
        <v>193</v>
      </c>
      <c r="J458" s="206">
        <f>633474.58*1.18/1000</f>
        <v>747.50000439999985</v>
      </c>
    </row>
    <row r="459" spans="1:12" s="3" customFormat="1" ht="28.5" customHeight="1" x14ac:dyDescent="0.25">
      <c r="A459" s="222"/>
      <c r="B459" s="237"/>
      <c r="C459" s="237"/>
      <c r="D459" s="240"/>
      <c r="E459" s="15"/>
      <c r="F459" s="25"/>
      <c r="G459" s="14"/>
      <c r="H459" s="199">
        <f>+J459</f>
        <v>377.66000299999996</v>
      </c>
      <c r="I459" s="25"/>
      <c r="J459" s="206">
        <f>320050.85*1.18/1000</f>
        <v>377.66000299999996</v>
      </c>
    </row>
    <row r="460" spans="1:12" s="3" customFormat="1" ht="63" customHeight="1" x14ac:dyDescent="0.25">
      <c r="A460" s="222"/>
      <c r="B460" s="238"/>
      <c r="C460" s="238"/>
      <c r="D460" s="241"/>
      <c r="E460" s="15"/>
      <c r="F460" s="25"/>
      <c r="G460" s="14"/>
      <c r="H460" s="199">
        <f>+J460</f>
        <v>-377.66000299999996</v>
      </c>
      <c r="I460" s="25" t="s">
        <v>571</v>
      </c>
      <c r="J460" s="206">
        <f>-320050.85*1.18/1000</f>
        <v>-377.66000299999996</v>
      </c>
    </row>
    <row r="461" spans="1:12" s="3" customFormat="1" ht="42.75" x14ac:dyDescent="0.25">
      <c r="A461" s="222"/>
      <c r="B461" s="51" t="s">
        <v>97</v>
      </c>
      <c r="C461" s="51" t="s">
        <v>105</v>
      </c>
      <c r="D461" s="16">
        <v>253.35616999999999</v>
      </c>
      <c r="E461" s="14"/>
      <c r="F461" s="25"/>
      <c r="G461" s="14"/>
      <c r="H461" s="203">
        <f>J461</f>
        <v>29.532367399999998</v>
      </c>
      <c r="I461" s="25" t="s">
        <v>160</v>
      </c>
      <c r="J461" s="209">
        <f>25027.43*1.18/1000</f>
        <v>29.532367399999998</v>
      </c>
    </row>
    <row r="462" spans="1:12" s="3" customFormat="1" ht="30" customHeight="1" x14ac:dyDescent="0.25">
      <c r="A462" s="222"/>
      <c r="B462" s="236" t="s">
        <v>106</v>
      </c>
      <c r="C462" s="236" t="s">
        <v>107</v>
      </c>
      <c r="D462" s="239">
        <v>3468</v>
      </c>
      <c r="E462" s="239">
        <f>G462+G463+G466+G464+G465</f>
        <v>3468</v>
      </c>
      <c r="F462" s="25" t="s">
        <v>235</v>
      </c>
      <c r="G462" s="14">
        <v>1694</v>
      </c>
      <c r="H462" s="239">
        <f>J462+J463</f>
        <v>1773.9999994</v>
      </c>
      <c r="I462" s="25" t="s">
        <v>192</v>
      </c>
      <c r="J462" s="206">
        <f>903069.49*1.18/1000</f>
        <v>1065.6219982</v>
      </c>
    </row>
    <row r="463" spans="1:12" s="3" customFormat="1" ht="32.25" customHeight="1" x14ac:dyDescent="0.25">
      <c r="A463" s="222"/>
      <c r="B463" s="237"/>
      <c r="C463" s="237"/>
      <c r="D463" s="240"/>
      <c r="E463" s="240"/>
      <c r="F463" s="25" t="s">
        <v>241</v>
      </c>
      <c r="G463" s="16">
        <f>678626.13/1000</f>
        <v>678.62612999999999</v>
      </c>
      <c r="H463" s="241"/>
      <c r="I463" s="47" t="s">
        <v>191</v>
      </c>
      <c r="J463" s="209">
        <f>600.32034*1.18</f>
        <v>708.37800119999997</v>
      </c>
    </row>
    <row r="464" spans="1:12" s="1" customFormat="1" ht="51.75" customHeight="1" x14ac:dyDescent="0.25">
      <c r="A464" s="222"/>
      <c r="B464" s="237"/>
      <c r="C464" s="237"/>
      <c r="D464" s="240"/>
      <c r="E464" s="240"/>
      <c r="F464" s="47" t="s">
        <v>240</v>
      </c>
      <c r="G464" s="14">
        <f>1040047.07/1000</f>
        <v>1040.0470699999998</v>
      </c>
      <c r="H464" s="203">
        <f>+J464</f>
        <v>236.12600039999998</v>
      </c>
      <c r="I464" s="184"/>
      <c r="J464" s="209">
        <f>200106.78*1.18/1000</f>
        <v>236.12600039999998</v>
      </c>
    </row>
    <row r="465" spans="1:10" s="3" customFormat="1" ht="54.75" customHeight="1" x14ac:dyDescent="0.25">
      <c r="A465" s="222"/>
      <c r="B465" s="237"/>
      <c r="C465" s="237"/>
      <c r="D465" s="240"/>
      <c r="E465" s="240"/>
      <c r="F465" s="53" t="s">
        <v>351</v>
      </c>
      <c r="G465" s="32">
        <f>29751.87/1000</f>
        <v>29.75187</v>
      </c>
      <c r="H465" s="203">
        <f>+J465</f>
        <v>-236.12600039999998</v>
      </c>
      <c r="I465" s="184" t="s">
        <v>568</v>
      </c>
      <c r="J465" s="209">
        <f>-200106.78*1.18/1000</f>
        <v>-236.12600039999998</v>
      </c>
    </row>
    <row r="466" spans="1:10" s="3" customFormat="1" ht="29.25" thickBot="1" x14ac:dyDescent="0.3">
      <c r="A466" s="235"/>
      <c r="B466" s="275"/>
      <c r="C466" s="275"/>
      <c r="D466" s="301"/>
      <c r="E466" s="301"/>
      <c r="F466" s="44" t="s">
        <v>352</v>
      </c>
      <c r="G466" s="43">
        <f>25574.93/1000</f>
        <v>25.574930000000002</v>
      </c>
      <c r="H466" s="202"/>
      <c r="I466" s="35"/>
      <c r="J466" s="92"/>
    </row>
    <row r="467" spans="1:10" s="3" customFormat="1" ht="45.75" customHeight="1" x14ac:dyDescent="0.25">
      <c r="A467" s="233" t="s">
        <v>23</v>
      </c>
      <c r="B467" s="270" t="s">
        <v>48</v>
      </c>
      <c r="C467" s="270" t="s">
        <v>95</v>
      </c>
      <c r="D467" s="282"/>
      <c r="E467" s="39">
        <f>G467</f>
        <v>1082.9207038</v>
      </c>
      <c r="F467" s="38" t="s">
        <v>273</v>
      </c>
      <c r="G467" s="39">
        <f>917729.41*1.18/1000</f>
        <v>1082.9207038</v>
      </c>
      <c r="H467" s="204">
        <f>419.9564*1.18</f>
        <v>495.54855199999992</v>
      </c>
      <c r="I467" s="270" t="s">
        <v>145</v>
      </c>
      <c r="J467" s="121">
        <f>419956.4*1.18/1000</f>
        <v>495.54855200000003</v>
      </c>
    </row>
    <row r="468" spans="1:10" s="3" customFormat="1" ht="42.75" customHeight="1" x14ac:dyDescent="0.25">
      <c r="A468" s="222"/>
      <c r="B468" s="237"/>
      <c r="C468" s="237"/>
      <c r="D468" s="240"/>
      <c r="E468" s="239">
        <f>G468+G469</f>
        <v>502.5626608</v>
      </c>
      <c r="F468" s="283" t="s">
        <v>265</v>
      </c>
      <c r="G468" s="14">
        <f>419956.4*1.18/1000</f>
        <v>495.54855200000003</v>
      </c>
      <c r="H468" s="197">
        <f>J468</f>
        <v>7.0141087999999989</v>
      </c>
      <c r="I468" s="238"/>
      <c r="J468" s="206">
        <f>5944.16*1.18/1000</f>
        <v>7.0141087999999989</v>
      </c>
    </row>
    <row r="469" spans="1:10" s="3" customFormat="1" ht="31.5" customHeight="1" x14ac:dyDescent="0.25">
      <c r="A469" s="222"/>
      <c r="B469" s="237"/>
      <c r="C469" s="237"/>
      <c r="D469" s="240"/>
      <c r="E469" s="241"/>
      <c r="F469" s="281"/>
      <c r="G469" s="16">
        <f>5944.16*1.18/1000</f>
        <v>7.0141087999999989</v>
      </c>
      <c r="H469" s="197">
        <f>J469</f>
        <v>56.149981400000001</v>
      </c>
      <c r="I469" s="25" t="s">
        <v>163</v>
      </c>
      <c r="J469" s="206">
        <f>47584.73*1.18/1000</f>
        <v>56.149981400000001</v>
      </c>
    </row>
    <row r="470" spans="1:10" s="3" customFormat="1" x14ac:dyDescent="0.25">
      <c r="A470" s="222"/>
      <c r="B470" s="237"/>
      <c r="C470" s="237"/>
      <c r="D470" s="240"/>
      <c r="E470" s="14">
        <f>G470</f>
        <v>909.99907880000001</v>
      </c>
      <c r="F470" s="25"/>
      <c r="G470" s="16">
        <f>771185.66*1.18/1000</f>
        <v>909.99907880000001</v>
      </c>
      <c r="H470" s="239">
        <f>J470+J471</f>
        <v>129.23240820000001</v>
      </c>
      <c r="I470" s="283" t="s">
        <v>163</v>
      </c>
      <c r="J470" s="206">
        <f>65960.3*1.18/1000</f>
        <v>77.833153999999993</v>
      </c>
    </row>
    <row r="471" spans="1:10" s="3" customFormat="1" x14ac:dyDescent="0.25">
      <c r="A471" s="222"/>
      <c r="B471" s="237"/>
      <c r="C471" s="237"/>
      <c r="D471" s="240"/>
      <c r="E471" s="14"/>
      <c r="F471" s="25"/>
      <c r="G471" s="16"/>
      <c r="H471" s="241"/>
      <c r="I471" s="281"/>
      <c r="J471" s="206">
        <f>43558.69*1.18/1000</f>
        <v>51.399254200000001</v>
      </c>
    </row>
    <row r="472" spans="1:10" s="3" customFormat="1" x14ac:dyDescent="0.25">
      <c r="A472" s="222"/>
      <c r="B472" s="237"/>
      <c r="C472" s="237"/>
      <c r="D472" s="240"/>
      <c r="E472" s="14"/>
      <c r="F472" s="25"/>
      <c r="G472" s="16"/>
      <c r="H472" s="239">
        <f>J472+J473+J474</f>
        <v>531.1586628</v>
      </c>
      <c r="I472" s="283" t="s">
        <v>163</v>
      </c>
      <c r="J472" s="206">
        <f>246628.28*1.18/1000</f>
        <v>291.02137039999997</v>
      </c>
    </row>
    <row r="473" spans="1:10" s="3" customFormat="1" x14ac:dyDescent="0.25">
      <c r="A473" s="222"/>
      <c r="B473" s="237"/>
      <c r="C473" s="237"/>
      <c r="D473" s="240"/>
      <c r="E473" s="14"/>
      <c r="F473" s="25"/>
      <c r="G473" s="16"/>
      <c r="H473" s="240"/>
      <c r="I473" s="257"/>
      <c r="J473" s="206">
        <f>122611.48*1.18/1000</f>
        <v>144.6815464</v>
      </c>
    </row>
    <row r="474" spans="1:10" s="3" customFormat="1" x14ac:dyDescent="0.25">
      <c r="A474" s="222"/>
      <c r="B474" s="237"/>
      <c r="C474" s="237"/>
      <c r="D474" s="240"/>
      <c r="E474" s="14"/>
      <c r="F474" s="25"/>
      <c r="G474" s="16"/>
      <c r="H474" s="241"/>
      <c r="I474" s="281"/>
      <c r="J474" s="206">
        <f>80894.7*1.18/1000</f>
        <v>95.455745999999991</v>
      </c>
    </row>
    <row r="475" spans="1:10" s="3" customFormat="1" ht="28.5" x14ac:dyDescent="0.25">
      <c r="A475" s="222"/>
      <c r="B475" s="237"/>
      <c r="C475" s="237"/>
      <c r="D475" s="240"/>
      <c r="E475" s="14"/>
      <c r="F475" s="25"/>
      <c r="G475" s="16"/>
      <c r="H475" s="197">
        <f>163.94748*1.18</f>
        <v>193.45802639999999</v>
      </c>
      <c r="I475" s="25" t="s">
        <v>163</v>
      </c>
      <c r="J475" s="206">
        <f>H475</f>
        <v>193.45802639999999</v>
      </c>
    </row>
    <row r="476" spans="1:10" s="3" customFormat="1" ht="28.5" x14ac:dyDescent="0.25">
      <c r="A476" s="222"/>
      <c r="B476" s="237"/>
      <c r="C476" s="237"/>
      <c r="D476" s="240"/>
      <c r="E476" s="16"/>
      <c r="F476" s="25" t="s">
        <v>472</v>
      </c>
      <c r="G476" s="16"/>
      <c r="H476" s="120">
        <f>J476</f>
        <v>43.971590800000001</v>
      </c>
      <c r="I476" s="25" t="s">
        <v>373</v>
      </c>
      <c r="J476" s="206">
        <f>37264.06*1.18/1000</f>
        <v>43.971590800000001</v>
      </c>
    </row>
    <row r="477" spans="1:10" s="3" customFormat="1" ht="28.5" x14ac:dyDescent="0.25">
      <c r="A477" s="222"/>
      <c r="B477" s="237"/>
      <c r="C477" s="237"/>
      <c r="D477" s="240"/>
      <c r="E477" s="16">
        <f>+G477</f>
        <v>43.971590800000001</v>
      </c>
      <c r="F477" s="50" t="s">
        <v>552</v>
      </c>
      <c r="G477" s="16">
        <f>37264.06*1.18/1000</f>
        <v>43.971590800000001</v>
      </c>
      <c r="H477" s="120">
        <f>+J477</f>
        <v>64.486008800000008</v>
      </c>
      <c r="I477" s="188" t="s">
        <v>650</v>
      </c>
      <c r="J477" s="206">
        <f>54649.16*1.18/1000</f>
        <v>64.486008800000008</v>
      </c>
    </row>
    <row r="478" spans="1:10" s="3" customFormat="1" ht="22.5" customHeight="1" x14ac:dyDescent="0.25">
      <c r="A478" s="222"/>
      <c r="B478" s="237"/>
      <c r="C478" s="237"/>
      <c r="D478" s="241"/>
      <c r="E478" s="16"/>
      <c r="F478" s="50"/>
      <c r="G478" s="16"/>
      <c r="H478" s="120">
        <f>+J478</f>
        <v>48.227178199999997</v>
      </c>
      <c r="I478" s="188" t="s">
        <v>650</v>
      </c>
      <c r="J478" s="206">
        <f>40870.49*1.18/1000</f>
        <v>48.227178199999997</v>
      </c>
    </row>
    <row r="479" spans="1:10" s="3" customFormat="1" ht="58.5" customHeight="1" x14ac:dyDescent="0.25">
      <c r="A479" s="222"/>
      <c r="B479" s="237"/>
      <c r="C479" s="237"/>
      <c r="D479" s="15"/>
      <c r="E479" s="16"/>
      <c r="F479" s="50"/>
      <c r="G479" s="16"/>
      <c r="H479" s="120">
        <f>+J479</f>
        <v>-64.486008800000008</v>
      </c>
      <c r="I479" s="25" t="s">
        <v>569</v>
      </c>
      <c r="J479" s="206">
        <f>-54649.16*1.18/1000</f>
        <v>-64.486008800000008</v>
      </c>
    </row>
    <row r="480" spans="1:10" s="3" customFormat="1" ht="57.75" customHeight="1" x14ac:dyDescent="0.25">
      <c r="A480" s="222"/>
      <c r="B480" s="238"/>
      <c r="C480" s="238"/>
      <c r="D480" s="15"/>
      <c r="E480" s="16"/>
      <c r="F480" s="50"/>
      <c r="G480" s="16"/>
      <c r="H480" s="120">
        <f>+J480</f>
        <v>-48.227178199999997</v>
      </c>
      <c r="I480" s="25" t="s">
        <v>570</v>
      </c>
      <c r="J480" s="206">
        <f>-40870.49*1.18/1000</f>
        <v>-48.227178199999997</v>
      </c>
    </row>
    <row r="481" spans="1:10" s="3" customFormat="1" ht="33.75" customHeight="1" x14ac:dyDescent="0.25">
      <c r="A481" s="222"/>
      <c r="B481" s="51" t="s">
        <v>353</v>
      </c>
      <c r="C481" s="14" t="s">
        <v>517</v>
      </c>
      <c r="D481" s="14"/>
      <c r="E481" s="14">
        <f>+G481</f>
        <v>119.89453999999999</v>
      </c>
      <c r="F481" s="47" t="s">
        <v>518</v>
      </c>
      <c r="G481" s="14">
        <f>119894.54/1000</f>
        <v>119.89453999999999</v>
      </c>
      <c r="H481" s="120">
        <f>J481</f>
        <v>119.89453719999999</v>
      </c>
      <c r="I481" s="25" t="s">
        <v>417</v>
      </c>
      <c r="J481" s="206">
        <f>101605.54*1.18/1000</f>
        <v>119.89453719999999</v>
      </c>
    </row>
    <row r="482" spans="1:10" s="3" customFormat="1" ht="60" customHeight="1" x14ac:dyDescent="0.25">
      <c r="A482" s="222"/>
      <c r="B482" s="236" t="s">
        <v>354</v>
      </c>
      <c r="C482" s="239" t="s">
        <v>418</v>
      </c>
      <c r="D482" s="239">
        <f>5762221.95/1000</f>
        <v>5762.2219500000001</v>
      </c>
      <c r="E482" s="16"/>
      <c r="F482" s="25"/>
      <c r="G482" s="16"/>
      <c r="H482" s="120">
        <f>+J482</f>
        <v>-139.8306844</v>
      </c>
      <c r="I482" s="122" t="s">
        <v>562</v>
      </c>
      <c r="J482" s="206">
        <f>-118500.58*1.18/1000</f>
        <v>-139.8306844</v>
      </c>
    </row>
    <row r="483" spans="1:10" s="3" customFormat="1" ht="53.25" customHeight="1" x14ac:dyDescent="0.25">
      <c r="A483" s="222"/>
      <c r="B483" s="237"/>
      <c r="C483" s="240"/>
      <c r="D483" s="240"/>
      <c r="E483" s="16"/>
      <c r="F483" s="25"/>
      <c r="G483" s="16"/>
      <c r="H483" s="120">
        <f>+J483</f>
        <v>-3.4128077999999999</v>
      </c>
      <c r="I483" s="122" t="s">
        <v>563</v>
      </c>
      <c r="J483" s="206">
        <f>-2892.21*1.18/1000</f>
        <v>-3.4128077999999999</v>
      </c>
    </row>
    <row r="484" spans="1:10" s="3" customFormat="1" ht="61.5" customHeight="1" x14ac:dyDescent="0.25">
      <c r="A484" s="222"/>
      <c r="B484" s="237"/>
      <c r="C484" s="240"/>
      <c r="D484" s="240"/>
      <c r="E484" s="16"/>
      <c r="F484" s="25"/>
      <c r="G484" s="16"/>
      <c r="H484" s="120">
        <f>+J484</f>
        <v>-23.429926599999998</v>
      </c>
      <c r="I484" s="25" t="s">
        <v>559</v>
      </c>
      <c r="J484" s="206">
        <f>-19855.87*1.18/1000</f>
        <v>-23.429926599999998</v>
      </c>
    </row>
    <row r="485" spans="1:10" s="3" customFormat="1" ht="56.25" customHeight="1" x14ac:dyDescent="0.25">
      <c r="A485" s="222"/>
      <c r="B485" s="237"/>
      <c r="C485" s="240"/>
      <c r="D485" s="240"/>
      <c r="E485" s="16"/>
      <c r="F485" s="25"/>
      <c r="G485" s="16"/>
      <c r="H485" s="120">
        <f>+J485</f>
        <v>-1.3093397999999998</v>
      </c>
      <c r="I485" s="25" t="s">
        <v>560</v>
      </c>
      <c r="J485" s="206">
        <f>-1109.61*1.18/1000</f>
        <v>-1.3093397999999998</v>
      </c>
    </row>
    <row r="486" spans="1:10" s="3" customFormat="1" ht="61.5" customHeight="1" x14ac:dyDescent="0.25">
      <c r="A486" s="222"/>
      <c r="B486" s="237"/>
      <c r="C486" s="240"/>
      <c r="D486" s="240"/>
      <c r="E486" s="16"/>
      <c r="F486" s="25"/>
      <c r="G486" s="16"/>
      <c r="H486" s="120">
        <f>+J486</f>
        <v>-184.6482408</v>
      </c>
      <c r="I486" s="25" t="s">
        <v>561</v>
      </c>
      <c r="J486" s="206">
        <f>-156481.56*1.18/1000</f>
        <v>-184.6482408</v>
      </c>
    </row>
    <row r="487" spans="1:10" s="3" customFormat="1" ht="57" customHeight="1" x14ac:dyDescent="0.25">
      <c r="A487" s="222"/>
      <c r="B487" s="237"/>
      <c r="C487" s="240"/>
      <c r="D487" s="240"/>
      <c r="E487" s="16">
        <f>+G487</f>
        <v>3297.8739399999999</v>
      </c>
      <c r="F487" s="25" t="s">
        <v>515</v>
      </c>
      <c r="G487" s="16">
        <f>3297873.94/1000</f>
        <v>3297.8739399999999</v>
      </c>
      <c r="H487" s="239">
        <f>J487+J489+J491+J493+J494+J495+J496+J497+J498+J499+J500+J501+J502+J503+J504+J505+J506+J507+J492+J488+J490</f>
        <v>8091.1643581999988</v>
      </c>
      <c r="I487" s="25" t="s">
        <v>419</v>
      </c>
      <c r="J487" s="206">
        <f>3297873.94/1000</f>
        <v>3297.8739399999999</v>
      </c>
    </row>
    <row r="488" spans="1:10" s="3" customFormat="1" ht="38.25" customHeight="1" x14ac:dyDescent="0.25">
      <c r="A488" s="222"/>
      <c r="B488" s="237"/>
      <c r="C488" s="241"/>
      <c r="D488" s="240"/>
      <c r="E488" s="16">
        <f>+G488</f>
        <v>1553.0672</v>
      </c>
      <c r="F488" s="25" t="s">
        <v>534</v>
      </c>
      <c r="G488" s="16">
        <f>1553067.2/1000</f>
        <v>1553.0672</v>
      </c>
      <c r="H488" s="240"/>
      <c r="I488" s="25"/>
      <c r="J488" s="206"/>
    </row>
    <row r="489" spans="1:10" s="3" customFormat="1" ht="42.75" x14ac:dyDescent="0.25">
      <c r="A489" s="222"/>
      <c r="B489" s="237"/>
      <c r="C489" s="97" t="s">
        <v>420</v>
      </c>
      <c r="D489" s="241"/>
      <c r="E489" s="16"/>
      <c r="F489" s="25"/>
      <c r="G489" s="16"/>
      <c r="H489" s="240"/>
      <c r="I489" s="25" t="s">
        <v>421</v>
      </c>
      <c r="J489" s="206">
        <f>2464288.08/1000</f>
        <v>2464.2880800000003</v>
      </c>
    </row>
    <row r="490" spans="1:10" s="3" customFormat="1" ht="57" customHeight="1" x14ac:dyDescent="0.25">
      <c r="A490" s="222"/>
      <c r="B490" s="237"/>
      <c r="C490" s="239" t="s">
        <v>422</v>
      </c>
      <c r="D490" s="239">
        <f>3421398.29/1000</f>
        <v>3421.3982900000001</v>
      </c>
      <c r="E490" s="16"/>
      <c r="F490" s="25"/>
      <c r="G490" s="16"/>
      <c r="H490" s="240"/>
      <c r="I490" s="25" t="s">
        <v>564</v>
      </c>
      <c r="J490" s="206">
        <f>-5748.51*1.18/1000</f>
        <v>-6.7832417999999999</v>
      </c>
    </row>
    <row r="491" spans="1:10" s="3" customFormat="1" ht="47.25" customHeight="1" x14ac:dyDescent="0.25">
      <c r="A491" s="222"/>
      <c r="B491" s="237"/>
      <c r="C491" s="240"/>
      <c r="D491" s="240"/>
      <c r="E491" s="16">
        <f>+G491</f>
        <v>730.18087000000003</v>
      </c>
      <c r="F491" s="25" t="s">
        <v>514</v>
      </c>
      <c r="G491" s="16">
        <f>730180.87/1000</f>
        <v>730.18087000000003</v>
      </c>
      <c r="H491" s="240"/>
      <c r="I491" s="25" t="s">
        <v>423</v>
      </c>
      <c r="J491" s="206">
        <f>419434.96/1000</f>
        <v>419.43496000000005</v>
      </c>
    </row>
    <row r="492" spans="1:10" s="3" customFormat="1" ht="47.25" customHeight="1" x14ac:dyDescent="0.25">
      <c r="A492" s="222"/>
      <c r="B492" s="237"/>
      <c r="C492" s="241"/>
      <c r="D492" s="240"/>
      <c r="E492" s="16">
        <f>+G492</f>
        <v>651.72268000000008</v>
      </c>
      <c r="F492" s="25" t="s">
        <v>533</v>
      </c>
      <c r="G492" s="16">
        <f>651722.68/1000</f>
        <v>651.72268000000008</v>
      </c>
      <c r="H492" s="240"/>
      <c r="I492" s="25"/>
      <c r="J492" s="206"/>
    </row>
    <row r="493" spans="1:10" s="3" customFormat="1" ht="33" customHeight="1" x14ac:dyDescent="0.25">
      <c r="A493" s="222"/>
      <c r="B493" s="237"/>
      <c r="C493" s="224" t="s">
        <v>558</v>
      </c>
      <c r="D493" s="240"/>
      <c r="E493" s="16"/>
      <c r="F493" s="25"/>
      <c r="G493" s="16"/>
      <c r="H493" s="240"/>
      <c r="I493" s="25" t="s">
        <v>423</v>
      </c>
      <c r="J493" s="206">
        <f>292289.91/1000</f>
        <v>292.28990999999996</v>
      </c>
    </row>
    <row r="494" spans="1:10" s="3" customFormat="1" ht="33" customHeight="1" x14ac:dyDescent="0.25">
      <c r="A494" s="222"/>
      <c r="B494" s="237"/>
      <c r="C494" s="224"/>
      <c r="D494" s="240"/>
      <c r="E494" s="16"/>
      <c r="F494" s="25"/>
      <c r="G494" s="16"/>
      <c r="H494" s="240"/>
      <c r="I494" s="25" t="s">
        <v>424</v>
      </c>
      <c r="J494" s="206">
        <f>18456/1000</f>
        <v>18.456</v>
      </c>
    </row>
    <row r="495" spans="1:10" s="3" customFormat="1" ht="33" customHeight="1" x14ac:dyDescent="0.25">
      <c r="A495" s="222"/>
      <c r="B495" s="237"/>
      <c r="C495" s="224"/>
      <c r="D495" s="240"/>
      <c r="E495" s="16"/>
      <c r="F495" s="25"/>
      <c r="G495" s="16"/>
      <c r="H495" s="240"/>
      <c r="I495" s="25" t="s">
        <v>425</v>
      </c>
      <c r="J495" s="206">
        <f>33400.74/1000</f>
        <v>33.400739999999999</v>
      </c>
    </row>
    <row r="496" spans="1:10" s="3" customFormat="1" ht="33" customHeight="1" x14ac:dyDescent="0.25">
      <c r="A496" s="222"/>
      <c r="B496" s="237"/>
      <c r="C496" s="224"/>
      <c r="D496" s="240"/>
      <c r="E496" s="16"/>
      <c r="F496" s="25"/>
      <c r="G496" s="16"/>
      <c r="H496" s="240"/>
      <c r="I496" s="25" t="s">
        <v>426</v>
      </c>
      <c r="J496" s="206">
        <f>12813.66/1000</f>
        <v>12.81366</v>
      </c>
    </row>
    <row r="497" spans="1:12" s="3" customFormat="1" ht="33" customHeight="1" x14ac:dyDescent="0.25">
      <c r="A497" s="222"/>
      <c r="B497" s="237"/>
      <c r="C497" s="224"/>
      <c r="D497" s="240"/>
      <c r="E497" s="16"/>
      <c r="F497" s="25"/>
      <c r="G497" s="16"/>
      <c r="H497" s="240"/>
      <c r="I497" s="25" t="s">
        <v>427</v>
      </c>
      <c r="J497" s="206">
        <f>526961.63/1000</f>
        <v>526.96163000000001</v>
      </c>
    </row>
    <row r="498" spans="1:12" s="3" customFormat="1" ht="33" customHeight="1" x14ac:dyDescent="0.25">
      <c r="A498" s="222"/>
      <c r="B498" s="237"/>
      <c r="C498" s="224"/>
      <c r="D498" s="241"/>
      <c r="E498" s="16"/>
      <c r="F498" s="25"/>
      <c r="G498" s="16"/>
      <c r="H498" s="240"/>
      <c r="I498" s="25" t="s">
        <v>428</v>
      </c>
      <c r="J498" s="206">
        <f>85329.89/1000</f>
        <v>85.329890000000006</v>
      </c>
    </row>
    <row r="499" spans="1:12" s="3" customFormat="1" ht="33" customHeight="1" x14ac:dyDescent="0.25">
      <c r="A499" s="222"/>
      <c r="B499" s="237"/>
      <c r="C499" s="240" t="s">
        <v>429</v>
      </c>
      <c r="D499" s="240">
        <v>3290</v>
      </c>
      <c r="E499" s="16">
        <f>+G499</f>
        <v>482.43723999999997</v>
      </c>
      <c r="F499" s="25" t="s">
        <v>516</v>
      </c>
      <c r="G499" s="16">
        <f>482437.24/1000</f>
        <v>482.43723999999997</v>
      </c>
      <c r="H499" s="240"/>
      <c r="I499" s="47" t="s">
        <v>419</v>
      </c>
      <c r="J499" s="209">
        <f>2167.68/1000</f>
        <v>2.1676799999999998</v>
      </c>
    </row>
    <row r="500" spans="1:12" s="3" customFormat="1" ht="48" customHeight="1" x14ac:dyDescent="0.25">
      <c r="A500" s="222"/>
      <c r="B500" s="237"/>
      <c r="C500" s="240"/>
      <c r="D500" s="240"/>
      <c r="E500" s="16">
        <f>+G500</f>
        <v>296.67879999999997</v>
      </c>
      <c r="F500" s="25" t="s">
        <v>535</v>
      </c>
      <c r="G500" s="16">
        <f>296678.8/1000</f>
        <v>296.67879999999997</v>
      </c>
      <c r="H500" s="240"/>
      <c r="I500" s="47" t="s">
        <v>423</v>
      </c>
      <c r="J500" s="209">
        <f>149211.15/1000</f>
        <v>149.21115</v>
      </c>
    </row>
    <row r="501" spans="1:12" s="3" customFormat="1" ht="38.25" customHeight="1" x14ac:dyDescent="0.25">
      <c r="A501" s="222"/>
      <c r="B501" s="237"/>
      <c r="C501" s="240"/>
      <c r="D501" s="240"/>
      <c r="E501" s="16"/>
      <c r="F501" s="25"/>
      <c r="G501" s="16"/>
      <c r="H501" s="240"/>
      <c r="I501" s="47" t="s">
        <v>425</v>
      </c>
      <c r="J501" s="209">
        <f>15783.56/1000</f>
        <v>15.78356</v>
      </c>
    </row>
    <row r="502" spans="1:12" s="3" customFormat="1" ht="28.5" customHeight="1" x14ac:dyDescent="0.25">
      <c r="A502" s="222"/>
      <c r="B502" s="237"/>
      <c r="C502" s="240"/>
      <c r="D502" s="240"/>
      <c r="E502" s="16"/>
      <c r="F502" s="25"/>
      <c r="G502" s="16"/>
      <c r="H502" s="240"/>
      <c r="I502" s="47" t="s">
        <v>430</v>
      </c>
      <c r="J502" s="209">
        <f>324483.09/1000</f>
        <v>324.48309</v>
      </c>
      <c r="K502" s="11">
        <f>E502</f>
        <v>0</v>
      </c>
    </row>
    <row r="503" spans="1:12" s="3" customFormat="1" ht="28.5" x14ac:dyDescent="0.25">
      <c r="A503" s="222"/>
      <c r="B503" s="237"/>
      <c r="C503" s="240"/>
      <c r="D503" s="240"/>
      <c r="E503" s="16"/>
      <c r="F503" s="25"/>
      <c r="G503" s="16"/>
      <c r="H503" s="240"/>
      <c r="I503" s="47" t="s">
        <v>425</v>
      </c>
      <c r="J503" s="209">
        <f>99287.45/1000</f>
        <v>99.287449999999993</v>
      </c>
      <c r="K503" s="11">
        <f>E503</f>
        <v>0</v>
      </c>
    </row>
    <row r="504" spans="1:12" s="3" customFormat="1" ht="28.5" x14ac:dyDescent="0.25">
      <c r="A504" s="222"/>
      <c r="B504" s="237"/>
      <c r="C504" s="240"/>
      <c r="D504" s="240"/>
      <c r="E504" s="16"/>
      <c r="F504" s="25"/>
      <c r="G504" s="16"/>
      <c r="H504" s="240"/>
      <c r="I504" s="47" t="s">
        <v>430</v>
      </c>
      <c r="J504" s="209">
        <f>25107.45/1000</f>
        <v>25.10745</v>
      </c>
      <c r="K504" s="11">
        <f>E504</f>
        <v>0</v>
      </c>
    </row>
    <row r="505" spans="1:12" s="1" customFormat="1" ht="28.5" x14ac:dyDescent="0.25">
      <c r="A505" s="222"/>
      <c r="B505" s="237"/>
      <c r="C505" s="240"/>
      <c r="D505" s="240"/>
      <c r="E505" s="16"/>
      <c r="F505" s="25"/>
      <c r="G505" s="16"/>
      <c r="H505" s="240"/>
      <c r="I505" s="47" t="s">
        <v>423</v>
      </c>
      <c r="J505" s="209">
        <f>164843.69/1000</f>
        <v>164.84369000000001</v>
      </c>
      <c r="K505" s="11">
        <f>E505</f>
        <v>0</v>
      </c>
    </row>
    <row r="506" spans="1:12" s="1" customFormat="1" ht="28.5" x14ac:dyDescent="0.25">
      <c r="A506" s="222"/>
      <c r="B506" s="237"/>
      <c r="C506" s="240"/>
      <c r="D506" s="240"/>
      <c r="E506" s="16"/>
      <c r="F506" s="25"/>
      <c r="G506" s="16"/>
      <c r="H506" s="240"/>
      <c r="I506" s="25" t="s">
        <v>423</v>
      </c>
      <c r="J506" s="206">
        <f>16541.33/1000</f>
        <v>16.541330000000002</v>
      </c>
      <c r="L506" s="4">
        <f>G506</f>
        <v>0</v>
      </c>
    </row>
    <row r="507" spans="1:12" s="1" customFormat="1" ht="29.25" thickBot="1" x14ac:dyDescent="0.3">
      <c r="A507" s="222"/>
      <c r="B507" s="238"/>
      <c r="C507" s="241"/>
      <c r="D507" s="241"/>
      <c r="E507" s="16"/>
      <c r="F507" s="25"/>
      <c r="G507" s="16"/>
      <c r="H507" s="241"/>
      <c r="I507" s="25" t="s">
        <v>431</v>
      </c>
      <c r="J507" s="206">
        <f>149673.39/1000</f>
        <v>149.67339000000001</v>
      </c>
      <c r="L507" s="4"/>
    </row>
    <row r="508" spans="1:12" s="1" customFormat="1" ht="28.5" x14ac:dyDescent="0.25">
      <c r="A508" s="222"/>
      <c r="B508" s="236" t="s">
        <v>467</v>
      </c>
      <c r="C508" s="239" t="s">
        <v>468</v>
      </c>
      <c r="D508" s="15"/>
      <c r="E508" s="16">
        <f>+G508</f>
        <v>1335</v>
      </c>
      <c r="F508" s="25" t="s">
        <v>469</v>
      </c>
      <c r="G508" s="123">
        <f>1335000/1000</f>
        <v>1335</v>
      </c>
      <c r="H508" s="199"/>
      <c r="I508" s="25"/>
      <c r="J508" s="206"/>
      <c r="L508" s="4"/>
    </row>
    <row r="509" spans="1:12" s="1" customFormat="1" ht="28.5" customHeight="1" x14ac:dyDescent="0.25">
      <c r="A509" s="222"/>
      <c r="B509" s="238"/>
      <c r="C509" s="241"/>
      <c r="D509" s="15"/>
      <c r="E509" s="16">
        <f>+G509</f>
        <v>267</v>
      </c>
      <c r="F509" s="25" t="s">
        <v>470</v>
      </c>
      <c r="G509" s="124">
        <f>267000/1000</f>
        <v>267</v>
      </c>
      <c r="H509" s="199"/>
      <c r="I509" s="25"/>
      <c r="J509" s="206"/>
      <c r="L509" s="4"/>
    </row>
    <row r="510" spans="1:12" s="1" customFormat="1" ht="31.5" customHeight="1" x14ac:dyDescent="0.25">
      <c r="A510" s="222"/>
      <c r="B510" s="236" t="s">
        <v>510</v>
      </c>
      <c r="C510" s="239" t="s">
        <v>511</v>
      </c>
      <c r="D510" s="15"/>
      <c r="E510" s="16">
        <f>+G510</f>
        <v>259.79226</v>
      </c>
      <c r="F510" s="25" t="s">
        <v>512</v>
      </c>
      <c r="G510" s="125">
        <f>259792.26/1000</f>
        <v>259.79226</v>
      </c>
      <c r="H510" s="199"/>
      <c r="I510" s="25"/>
      <c r="J510" s="206"/>
      <c r="L510" s="4"/>
    </row>
    <row r="511" spans="1:12" s="1" customFormat="1" ht="28.5" customHeight="1" x14ac:dyDescent="0.25">
      <c r="A511" s="222"/>
      <c r="B511" s="238"/>
      <c r="C511" s="241"/>
      <c r="D511" s="15"/>
      <c r="E511" s="16">
        <f>+G511</f>
        <v>575.4778</v>
      </c>
      <c r="F511" s="25" t="s">
        <v>513</v>
      </c>
      <c r="G511" s="125">
        <f>575477.8/1000</f>
        <v>575.4778</v>
      </c>
      <c r="H511" s="199"/>
      <c r="I511" s="25"/>
      <c r="J511" s="206"/>
      <c r="L511" s="4"/>
    </row>
    <row r="512" spans="1:12" s="1" customFormat="1" ht="36.75" customHeight="1" x14ac:dyDescent="0.25">
      <c r="A512" s="222"/>
      <c r="B512" s="52" t="s">
        <v>531</v>
      </c>
      <c r="C512" s="15"/>
      <c r="D512" s="15"/>
      <c r="E512" s="16">
        <f>+G512</f>
        <v>4.7453599999999998</v>
      </c>
      <c r="F512" s="25" t="s">
        <v>532</v>
      </c>
      <c r="G512" s="126">
        <f>4745.36/1000</f>
        <v>4.7453599999999998</v>
      </c>
      <c r="H512" s="199"/>
      <c r="I512" s="25"/>
      <c r="J512" s="206"/>
      <c r="L512" s="4"/>
    </row>
    <row r="513" spans="1:16" s="1" customFormat="1" ht="42.75" x14ac:dyDescent="0.25">
      <c r="A513" s="222"/>
      <c r="B513" s="223" t="s">
        <v>96</v>
      </c>
      <c r="C513" s="223"/>
      <c r="D513" s="223"/>
      <c r="E513" s="14"/>
      <c r="F513" s="47"/>
      <c r="G513" s="14"/>
      <c r="H513" s="203">
        <f>J513</f>
        <v>442.8330904</v>
      </c>
      <c r="I513" s="47" t="s">
        <v>199</v>
      </c>
      <c r="J513" s="209">
        <f>375282.28*1.18/1000</f>
        <v>442.8330904</v>
      </c>
      <c r="L513" s="4"/>
    </row>
    <row r="514" spans="1:16" s="1" customFormat="1" ht="43.5" thickBot="1" x14ac:dyDescent="0.3">
      <c r="A514" s="235"/>
      <c r="B514" s="223" t="s">
        <v>348</v>
      </c>
      <c r="C514" s="223"/>
      <c r="D514" s="223"/>
      <c r="E514" s="14"/>
      <c r="F514" s="47"/>
      <c r="G514" s="14"/>
      <c r="H514" s="203">
        <f>J514</f>
        <v>2188.1100017999997</v>
      </c>
      <c r="I514" s="47" t="s">
        <v>432</v>
      </c>
      <c r="J514" s="209">
        <f>1854330.51*1.18/1000</f>
        <v>2188.1100017999997</v>
      </c>
      <c r="L514" s="4"/>
    </row>
    <row r="515" spans="1:16" s="1" customFormat="1" ht="28.5" x14ac:dyDescent="0.25">
      <c r="A515" s="233" t="s">
        <v>54</v>
      </c>
      <c r="B515" s="52" t="s">
        <v>128</v>
      </c>
      <c r="C515" s="52" t="s">
        <v>120</v>
      </c>
      <c r="D515" s="15">
        <v>1057.77072</v>
      </c>
      <c r="E515" s="15">
        <v>527.26931999999999</v>
      </c>
      <c r="F515" s="52" t="s">
        <v>121</v>
      </c>
      <c r="G515" s="15">
        <f>E515</f>
        <v>527.26931999999999</v>
      </c>
      <c r="H515" s="199"/>
      <c r="I515" s="52"/>
      <c r="J515" s="207"/>
      <c r="L515" s="4"/>
      <c r="P515" s="4"/>
    </row>
    <row r="516" spans="1:16" s="1" customFormat="1" ht="31.5" customHeight="1" x14ac:dyDescent="0.25">
      <c r="A516" s="222"/>
      <c r="B516" s="236" t="s">
        <v>53</v>
      </c>
      <c r="C516" s="236" t="s">
        <v>88</v>
      </c>
      <c r="D516" s="239">
        <v>10530.802799999999</v>
      </c>
      <c r="E516" s="14">
        <v>1765.02</v>
      </c>
      <c r="F516" s="50" t="s">
        <v>315</v>
      </c>
      <c r="G516" s="14">
        <f>E516</f>
        <v>1765.02</v>
      </c>
      <c r="H516" s="203"/>
      <c r="I516" s="50"/>
      <c r="J516" s="209"/>
      <c r="L516" s="4"/>
    </row>
    <row r="517" spans="1:16" s="1" customFormat="1" ht="28.5" x14ac:dyDescent="0.25">
      <c r="A517" s="222"/>
      <c r="B517" s="238"/>
      <c r="C517" s="238"/>
      <c r="D517" s="241"/>
      <c r="E517" s="14">
        <v>3389.8391999999999</v>
      </c>
      <c r="F517" s="50" t="s">
        <v>316</v>
      </c>
      <c r="G517" s="14">
        <f>E517</f>
        <v>3389.8391999999999</v>
      </c>
      <c r="H517" s="203"/>
      <c r="I517" s="50"/>
      <c r="J517" s="209"/>
      <c r="K517" s="4">
        <f>E517</f>
        <v>3389.8391999999999</v>
      </c>
    </row>
    <row r="518" spans="1:16" s="1" customFormat="1" ht="28.5" x14ac:dyDescent="0.25">
      <c r="A518" s="222"/>
      <c r="B518" s="236" t="s">
        <v>129</v>
      </c>
      <c r="C518" s="236" t="s">
        <v>122</v>
      </c>
      <c r="D518" s="239">
        <v>20211</v>
      </c>
      <c r="E518" s="14">
        <v>6690.0734700000003</v>
      </c>
      <c r="F518" s="50" t="s">
        <v>123</v>
      </c>
      <c r="G518" s="14">
        <f>E518</f>
        <v>6690.0734700000003</v>
      </c>
      <c r="H518" s="203"/>
      <c r="I518" s="50"/>
      <c r="J518" s="209"/>
      <c r="K518" s="4">
        <f>E518</f>
        <v>6690.0734700000003</v>
      </c>
    </row>
    <row r="519" spans="1:16" s="1" customFormat="1" ht="28.5" x14ac:dyDescent="0.25">
      <c r="A519" s="222"/>
      <c r="B519" s="237"/>
      <c r="C519" s="237"/>
      <c r="D519" s="240"/>
      <c r="E519" s="14">
        <v>295.517</v>
      </c>
      <c r="F519" s="50" t="s">
        <v>317</v>
      </c>
      <c r="G519" s="14">
        <f>E519</f>
        <v>295.517</v>
      </c>
      <c r="H519" s="203">
        <f>J519</f>
        <v>295.51700520000003</v>
      </c>
      <c r="I519" s="50" t="s">
        <v>155</v>
      </c>
      <c r="J519" s="209">
        <f>250438.14*1.18/1000</f>
        <v>295.51700520000003</v>
      </c>
      <c r="L519" s="4">
        <f>G519</f>
        <v>295.517</v>
      </c>
    </row>
    <row r="520" spans="1:16" s="1" customFormat="1" ht="28.5" x14ac:dyDescent="0.25">
      <c r="A520" s="222"/>
      <c r="B520" s="237"/>
      <c r="C520" s="237"/>
      <c r="D520" s="240"/>
      <c r="E520" s="14">
        <f>G520</f>
        <v>3690.5620299999996</v>
      </c>
      <c r="F520" s="50" t="s">
        <v>334</v>
      </c>
      <c r="G520" s="14">
        <f>3690562.03/1000</f>
        <v>3690.5620299999996</v>
      </c>
      <c r="H520" s="203">
        <f>J520</f>
        <v>3690.5620291999999</v>
      </c>
      <c r="I520" s="50" t="s">
        <v>433</v>
      </c>
      <c r="J520" s="209">
        <f>3127594.94*1.18/1000</f>
        <v>3690.5620291999999</v>
      </c>
    </row>
    <row r="521" spans="1:16" s="1" customFormat="1" x14ac:dyDescent="0.25">
      <c r="A521" s="222"/>
      <c r="B521" s="237"/>
      <c r="C521" s="237"/>
      <c r="D521" s="240"/>
      <c r="E521" s="14"/>
      <c r="F521" s="50"/>
      <c r="G521" s="14"/>
      <c r="H521" s="239">
        <f>J521+J522+J523+J524</f>
        <v>1081.2075444</v>
      </c>
      <c r="I521" s="239" t="s">
        <v>434</v>
      </c>
      <c r="J521" s="209">
        <f>217424.43*1.18/1000</f>
        <v>256.56082739999999</v>
      </c>
    </row>
    <row r="522" spans="1:16" s="1" customFormat="1" x14ac:dyDescent="0.25">
      <c r="A522" s="222"/>
      <c r="B522" s="237"/>
      <c r="C522" s="237"/>
      <c r="D522" s="240"/>
      <c r="E522" s="14"/>
      <c r="F522" s="50"/>
      <c r="G522" s="14"/>
      <c r="H522" s="240"/>
      <c r="I522" s="240"/>
      <c r="J522" s="209">
        <f>212167.64*1.18/1000</f>
        <v>250.3578152</v>
      </c>
    </row>
    <row r="523" spans="1:16" s="1" customFormat="1" x14ac:dyDescent="0.25">
      <c r="A523" s="222"/>
      <c r="B523" s="237"/>
      <c r="C523" s="237"/>
      <c r="D523" s="240"/>
      <c r="E523" s="14"/>
      <c r="F523" s="50"/>
      <c r="G523" s="14"/>
      <c r="H523" s="240"/>
      <c r="I523" s="240"/>
      <c r="J523" s="209">
        <f>243342.75*1.18/1000</f>
        <v>287.14444500000002</v>
      </c>
      <c r="O523" s="4"/>
    </row>
    <row r="524" spans="1:16" s="1" customFormat="1" ht="15" customHeight="1" x14ac:dyDescent="0.25">
      <c r="A524" s="222"/>
      <c r="B524" s="237"/>
      <c r="C524" s="237"/>
      <c r="D524" s="241"/>
      <c r="E524" s="14"/>
      <c r="F524" s="50"/>
      <c r="G524" s="14"/>
      <c r="H524" s="241"/>
      <c r="I524" s="241"/>
      <c r="J524" s="209">
        <f>243342.76*1.18/1000</f>
        <v>287.1444568</v>
      </c>
    </row>
    <row r="525" spans="1:16" s="23" customFormat="1" ht="33" customHeight="1" x14ac:dyDescent="0.25">
      <c r="A525" s="222"/>
      <c r="B525" s="238"/>
      <c r="C525" s="238"/>
      <c r="D525" s="15"/>
      <c r="E525" s="14">
        <f>+G525</f>
        <v>784.71927000000005</v>
      </c>
      <c r="F525" s="50" t="s">
        <v>504</v>
      </c>
      <c r="G525" s="14">
        <f>784719.27/1000</f>
        <v>784.71927000000005</v>
      </c>
      <c r="H525" s="199"/>
      <c r="I525" s="15"/>
      <c r="J525" s="209"/>
    </row>
    <row r="526" spans="1:16" s="1" customFormat="1" ht="28.5" x14ac:dyDescent="0.25">
      <c r="A526" s="222"/>
      <c r="B526" s="50" t="s">
        <v>130</v>
      </c>
      <c r="C526" s="50" t="s">
        <v>124</v>
      </c>
      <c r="D526" s="14">
        <v>2079</v>
      </c>
      <c r="E526" s="14">
        <v>1975.05</v>
      </c>
      <c r="F526" s="50" t="s">
        <v>125</v>
      </c>
      <c r="G526" s="14">
        <f>E526</f>
        <v>1975.05</v>
      </c>
      <c r="H526" s="203">
        <f>J526</f>
        <v>97.142555999999999</v>
      </c>
      <c r="I526" s="50" t="s">
        <v>435</v>
      </c>
      <c r="J526" s="209">
        <f>82324.2*1.18/1000</f>
        <v>97.142555999999999</v>
      </c>
    </row>
    <row r="527" spans="1:16" s="1" customFormat="1" ht="28.5" x14ac:dyDescent="0.25">
      <c r="A527" s="222"/>
      <c r="B527" s="50" t="s">
        <v>126</v>
      </c>
      <c r="C527" s="50"/>
      <c r="D527" s="14"/>
      <c r="E527" s="14">
        <v>103.95</v>
      </c>
      <c r="F527" s="50" t="s">
        <v>318</v>
      </c>
      <c r="G527" s="14">
        <f>E527</f>
        <v>103.95</v>
      </c>
      <c r="H527" s="203"/>
      <c r="I527" s="50"/>
      <c r="J527" s="209"/>
    </row>
    <row r="528" spans="1:16" s="1" customFormat="1" ht="28.5" x14ac:dyDescent="0.25">
      <c r="A528" s="222"/>
      <c r="B528" s="236" t="s">
        <v>104</v>
      </c>
      <c r="C528" s="236" t="s">
        <v>127</v>
      </c>
      <c r="D528" s="239">
        <v>2365.4499999999998</v>
      </c>
      <c r="E528" s="14">
        <v>1453.6</v>
      </c>
      <c r="F528" s="50" t="s">
        <v>319</v>
      </c>
      <c r="G528" s="14">
        <f>E528</f>
        <v>1453.6</v>
      </c>
      <c r="H528" s="203">
        <f>176.31356*1.18</f>
        <v>208.05000079999999</v>
      </c>
      <c r="I528" s="25" t="s">
        <v>196</v>
      </c>
      <c r="J528" s="209">
        <f>176313.56/1000*1.18</f>
        <v>208.05000079999999</v>
      </c>
    </row>
    <row r="529" spans="1:12" s="1" customFormat="1" ht="28.5" x14ac:dyDescent="0.25">
      <c r="A529" s="222"/>
      <c r="B529" s="237"/>
      <c r="C529" s="237"/>
      <c r="D529" s="240"/>
      <c r="E529" s="14">
        <f t="shared" ref="E529:E537" si="39">G529</f>
        <v>208.05</v>
      </c>
      <c r="F529" s="50" t="s">
        <v>242</v>
      </c>
      <c r="G529" s="14">
        <f>208050/1000</f>
        <v>208.05</v>
      </c>
      <c r="H529" s="203">
        <f>J529</f>
        <v>469.20000159999995</v>
      </c>
      <c r="I529" s="179" t="s">
        <v>472</v>
      </c>
      <c r="J529" s="209">
        <f>397627.12*1.18/1000</f>
        <v>469.20000159999995</v>
      </c>
    </row>
    <row r="530" spans="1:12" s="1" customFormat="1" ht="28.5" x14ac:dyDescent="0.25">
      <c r="A530" s="222"/>
      <c r="B530" s="237"/>
      <c r="C530" s="237"/>
      <c r="D530" s="240"/>
      <c r="E530" s="14">
        <f t="shared" si="39"/>
        <v>696.05819999999994</v>
      </c>
      <c r="F530" s="50" t="s">
        <v>243</v>
      </c>
      <c r="G530" s="14">
        <f>696058.2/1000</f>
        <v>696.05819999999994</v>
      </c>
      <c r="H530" s="203">
        <f>J530</f>
        <v>234.60000079999998</v>
      </c>
      <c r="I530" s="25" t="s">
        <v>195</v>
      </c>
      <c r="J530" s="209">
        <f>198813.56/1000*1.18</f>
        <v>234.60000079999998</v>
      </c>
    </row>
    <row r="531" spans="1:12" s="1" customFormat="1" ht="24" customHeight="1" x14ac:dyDescent="0.25">
      <c r="A531" s="222"/>
      <c r="B531" s="237"/>
      <c r="C531" s="237"/>
      <c r="D531" s="240"/>
      <c r="E531" s="14"/>
      <c r="F531" s="52"/>
      <c r="G531" s="14"/>
      <c r="H531" s="203">
        <f>+J531</f>
        <v>234.60000079999998</v>
      </c>
      <c r="I531" s="283" t="s">
        <v>567</v>
      </c>
      <c r="J531" s="209">
        <f>198813.56*1.18/1000</f>
        <v>234.60000079999998</v>
      </c>
    </row>
    <row r="532" spans="1:12" s="1" customFormat="1" ht="67.5" customHeight="1" x14ac:dyDescent="0.25">
      <c r="A532" s="222"/>
      <c r="B532" s="238"/>
      <c r="C532" s="238"/>
      <c r="D532" s="241"/>
      <c r="E532" s="14"/>
      <c r="F532" s="52"/>
      <c r="G532" s="14"/>
      <c r="H532" s="203">
        <f>+J532</f>
        <v>-234.60000079999998</v>
      </c>
      <c r="I532" s="281"/>
      <c r="J532" s="209">
        <f>-198813.56*1.18/1000</f>
        <v>-234.60000079999998</v>
      </c>
    </row>
    <row r="533" spans="1:12" s="1" customFormat="1" ht="42.75" x14ac:dyDescent="0.25">
      <c r="A533" s="222"/>
      <c r="B533" s="236" t="s">
        <v>48</v>
      </c>
      <c r="C533" s="236" t="s">
        <v>95</v>
      </c>
      <c r="D533" s="239"/>
      <c r="E533" s="14">
        <f t="shared" si="39"/>
        <v>702.52059919999999</v>
      </c>
      <c r="F533" s="52" t="s">
        <v>273</v>
      </c>
      <c r="G533" s="14">
        <f>595356.44*1.18/1000</f>
        <v>702.52059919999999</v>
      </c>
      <c r="H533" s="203">
        <f>J533</f>
        <v>171.26588439999998</v>
      </c>
      <c r="I533" s="50" t="s">
        <v>436</v>
      </c>
      <c r="J533" s="209">
        <f>145140.58*1.18/1000</f>
        <v>171.26588439999998</v>
      </c>
    </row>
    <row r="534" spans="1:12" s="1" customFormat="1" ht="28.5" customHeight="1" x14ac:dyDescent="0.25">
      <c r="A534" s="222"/>
      <c r="B534" s="237"/>
      <c r="C534" s="237"/>
      <c r="D534" s="240"/>
      <c r="E534" s="14">
        <f t="shared" si="39"/>
        <v>171.26588439999998</v>
      </c>
      <c r="F534" s="25" t="s">
        <v>265</v>
      </c>
      <c r="G534" s="14">
        <f>145140.58*1.18/1000</f>
        <v>171.26588439999998</v>
      </c>
      <c r="H534" s="203">
        <f>J534</f>
        <v>7.5652396</v>
      </c>
      <c r="I534" s="51" t="s">
        <v>437</v>
      </c>
      <c r="J534" s="209">
        <f>6411.22*1.18/1000</f>
        <v>7.5652396</v>
      </c>
    </row>
    <row r="535" spans="1:12" s="1" customFormat="1" ht="31.5" customHeight="1" x14ac:dyDescent="0.25">
      <c r="A535" s="222"/>
      <c r="B535" s="237"/>
      <c r="C535" s="237"/>
      <c r="D535" s="240"/>
      <c r="E535" s="14">
        <f t="shared" si="39"/>
        <v>343.85551639999994</v>
      </c>
      <c r="F535" s="25"/>
      <c r="G535" s="14">
        <f>291402.98*1.18/1000</f>
        <v>343.85551639999994</v>
      </c>
      <c r="H535" s="239">
        <f>J535+J536+J537</f>
        <v>336.29027680000002</v>
      </c>
      <c r="I535" s="236" t="s">
        <v>163</v>
      </c>
      <c r="J535" s="209">
        <f>65024.44*1.18/1000</f>
        <v>76.728839199999996</v>
      </c>
    </row>
    <row r="536" spans="1:12" s="3" customFormat="1" x14ac:dyDescent="0.25">
      <c r="A536" s="222"/>
      <c r="B536" s="237"/>
      <c r="C536" s="237"/>
      <c r="D536" s="240"/>
      <c r="E536" s="14">
        <f t="shared" si="39"/>
        <v>52.914173599999998</v>
      </c>
      <c r="F536" s="50"/>
      <c r="G536" s="14">
        <f>44842.52*1.18/1000</f>
        <v>52.914173599999998</v>
      </c>
      <c r="H536" s="240"/>
      <c r="I536" s="237"/>
      <c r="J536" s="209">
        <f>146644.88*1.18/1000</f>
        <v>173.04095839999999</v>
      </c>
    </row>
    <row r="537" spans="1:12" s="3" customFormat="1" ht="15" customHeight="1" x14ac:dyDescent="0.25">
      <c r="A537" s="222"/>
      <c r="B537" s="237"/>
      <c r="C537" s="237"/>
      <c r="D537" s="240"/>
      <c r="E537" s="14">
        <f t="shared" si="39"/>
        <v>94.478375599999993</v>
      </c>
      <c r="F537" s="50"/>
      <c r="G537" s="14">
        <f>80066.42*1.18/1000</f>
        <v>94.478375599999993</v>
      </c>
      <c r="H537" s="241"/>
      <c r="I537" s="238"/>
      <c r="J537" s="209">
        <f>73322.44*1.18/1000</f>
        <v>86.520479199999997</v>
      </c>
    </row>
    <row r="538" spans="1:12" s="3" customFormat="1" ht="35.25" customHeight="1" x14ac:dyDescent="0.25">
      <c r="A538" s="222"/>
      <c r="B538" s="237"/>
      <c r="C538" s="237"/>
      <c r="D538" s="240"/>
      <c r="E538" s="14"/>
      <c r="F538" s="50"/>
      <c r="G538" s="14"/>
      <c r="H538" s="199">
        <f>J538</f>
        <v>94.478375599999993</v>
      </c>
      <c r="I538" s="52" t="s">
        <v>438</v>
      </c>
      <c r="J538" s="209">
        <f>80066.42*1.18/1000</f>
        <v>94.478375599999993</v>
      </c>
      <c r="L538" s="11">
        <f>G538</f>
        <v>0</v>
      </c>
    </row>
    <row r="539" spans="1:12" s="3" customFormat="1" ht="15" customHeight="1" x14ac:dyDescent="0.25">
      <c r="A539" s="222"/>
      <c r="B539" s="237"/>
      <c r="C539" s="237"/>
      <c r="D539" s="240"/>
      <c r="E539" s="14"/>
      <c r="F539" s="50"/>
      <c r="G539" s="14"/>
      <c r="H539" s="239">
        <f>J539+J540+J541+J542</f>
        <v>27.678929599999996</v>
      </c>
      <c r="I539" s="236" t="s">
        <v>439</v>
      </c>
      <c r="J539" s="209">
        <f>6229.58*1.18/1000</f>
        <v>7.3509043999999992</v>
      </c>
      <c r="L539" s="11"/>
    </row>
    <row r="540" spans="1:12" s="3" customFormat="1" ht="15" customHeight="1" x14ac:dyDescent="0.25">
      <c r="A540" s="222"/>
      <c r="B540" s="237"/>
      <c r="C540" s="237"/>
      <c r="D540" s="240"/>
      <c r="E540" s="14"/>
      <c r="F540" s="50"/>
      <c r="G540" s="14"/>
      <c r="H540" s="240"/>
      <c r="I540" s="237"/>
      <c r="J540" s="209">
        <f>6229.58*1.18/1000</f>
        <v>7.3509043999999992</v>
      </c>
      <c r="L540" s="11"/>
    </row>
    <row r="541" spans="1:12" s="3" customFormat="1" ht="15" customHeight="1" x14ac:dyDescent="0.25">
      <c r="A541" s="222"/>
      <c r="B541" s="237"/>
      <c r="C541" s="237"/>
      <c r="D541" s="240"/>
      <c r="E541" s="14"/>
      <c r="F541" s="50"/>
      <c r="G541" s="14"/>
      <c r="H541" s="240"/>
      <c r="I541" s="237"/>
      <c r="J541" s="209">
        <f>5566.07*1.18/1000</f>
        <v>6.5679625999999987</v>
      </c>
      <c r="L541" s="11"/>
    </row>
    <row r="542" spans="1:12" s="3" customFormat="1" ht="40.5" customHeight="1" x14ac:dyDescent="0.25">
      <c r="A542" s="222"/>
      <c r="B542" s="237"/>
      <c r="C542" s="237"/>
      <c r="D542" s="240"/>
      <c r="E542" s="58"/>
      <c r="F542" s="58"/>
      <c r="G542" s="58"/>
      <c r="H542" s="241"/>
      <c r="I542" s="238"/>
      <c r="J542" s="209">
        <f>5431.49*1.18/1000</f>
        <v>6.4091582000000002</v>
      </c>
    </row>
    <row r="543" spans="1:12" s="3" customFormat="1" ht="40.5" customHeight="1" x14ac:dyDescent="0.25">
      <c r="A543" s="222"/>
      <c r="B543" s="237"/>
      <c r="C543" s="237"/>
      <c r="D543" s="240"/>
      <c r="E543" s="14">
        <f>+G543</f>
        <v>27.6789296</v>
      </c>
      <c r="F543" s="50" t="s">
        <v>552</v>
      </c>
      <c r="G543" s="14">
        <f>23456.72*1.18/1000</f>
        <v>27.6789296</v>
      </c>
      <c r="H543" s="127">
        <f>+J543</f>
        <v>86.520479199999997</v>
      </c>
      <c r="I543" s="236" t="s">
        <v>566</v>
      </c>
      <c r="J543" s="209">
        <f>73322.44*1.18/1000</f>
        <v>86.520479199999997</v>
      </c>
    </row>
    <row r="544" spans="1:12" s="3" customFormat="1" ht="40.5" customHeight="1" x14ac:dyDescent="0.25">
      <c r="A544" s="222"/>
      <c r="B544" s="238"/>
      <c r="C544" s="238"/>
      <c r="D544" s="241"/>
      <c r="E544" s="15"/>
      <c r="F544" s="52"/>
      <c r="G544" s="14"/>
      <c r="H544" s="127">
        <f>+J544</f>
        <v>-86.520479199999997</v>
      </c>
      <c r="I544" s="238"/>
      <c r="J544" s="209">
        <f>-73322.44*1.18/1000</f>
        <v>-86.520479199999997</v>
      </c>
    </row>
    <row r="545" spans="1:12" s="3" customFormat="1" ht="39.75" customHeight="1" x14ac:dyDescent="0.25">
      <c r="A545" s="222"/>
      <c r="B545" s="128" t="s">
        <v>53</v>
      </c>
      <c r="C545" s="50" t="s">
        <v>208</v>
      </c>
      <c r="D545" s="129">
        <f>1399610.43/1000</f>
        <v>1399.61043</v>
      </c>
      <c r="E545" s="15">
        <f>G545</f>
        <v>334.47640000000001</v>
      </c>
      <c r="F545" s="52" t="s">
        <v>320</v>
      </c>
      <c r="G545" s="14">
        <f>107.8417+226.6347</f>
        <v>334.47640000000001</v>
      </c>
      <c r="H545" s="127"/>
      <c r="I545" s="52"/>
      <c r="J545" s="209"/>
      <c r="K545" s="11">
        <f>E545</f>
        <v>334.47640000000001</v>
      </c>
    </row>
    <row r="546" spans="1:12" s="3" customFormat="1" ht="39.75" customHeight="1" x14ac:dyDescent="0.25">
      <c r="A546" s="222"/>
      <c r="B546" s="128" t="s">
        <v>130</v>
      </c>
      <c r="C546" s="50" t="s">
        <v>473</v>
      </c>
      <c r="D546" s="14"/>
      <c r="E546" s="15">
        <f>+G546</f>
        <v>97.142560000000003</v>
      </c>
      <c r="F546" s="52" t="s">
        <v>474</v>
      </c>
      <c r="G546" s="14">
        <f>97142.56/1000</f>
        <v>97.142560000000003</v>
      </c>
      <c r="H546" s="127"/>
      <c r="I546" s="52"/>
      <c r="J546" s="209"/>
      <c r="K546" s="11"/>
    </row>
    <row r="547" spans="1:12" s="18" customFormat="1" ht="47.25" customHeight="1" x14ac:dyDescent="0.25">
      <c r="A547" s="222"/>
      <c r="B547" s="59" t="s">
        <v>505</v>
      </c>
      <c r="C547" s="56" t="s">
        <v>506</v>
      </c>
      <c r="D547" s="58"/>
      <c r="E547" s="130">
        <f>+G547</f>
        <v>40</v>
      </c>
      <c r="F547" s="56" t="s">
        <v>507</v>
      </c>
      <c r="G547" s="130">
        <f>40000/1000</f>
        <v>40</v>
      </c>
      <c r="H547" s="55">
        <f>+J547</f>
        <v>40.00000579999999</v>
      </c>
      <c r="I547" s="55" t="s">
        <v>576</v>
      </c>
      <c r="J547" s="55">
        <f>33898.31*1.18/1000</f>
        <v>40.00000579999999</v>
      </c>
      <c r="K547" s="17"/>
    </row>
    <row r="548" spans="1:12" s="3" customFormat="1" ht="57" x14ac:dyDescent="0.25">
      <c r="A548" s="222"/>
      <c r="B548" s="271" t="s">
        <v>96</v>
      </c>
      <c r="C548" s="272"/>
      <c r="D548" s="273"/>
      <c r="E548" s="14"/>
      <c r="F548" s="47"/>
      <c r="G548" s="14"/>
      <c r="H548" s="203">
        <f>J548</f>
        <v>108.0165038</v>
      </c>
      <c r="I548" s="47" t="s">
        <v>178</v>
      </c>
      <c r="J548" s="209">
        <f>91539.41*1.18/1000</f>
        <v>108.0165038</v>
      </c>
      <c r="K548" s="11">
        <f>E548</f>
        <v>0</v>
      </c>
    </row>
    <row r="549" spans="1:12" s="3" customFormat="1" ht="54.75" customHeight="1" x14ac:dyDescent="0.25">
      <c r="A549" s="222"/>
      <c r="B549" s="223" t="s">
        <v>251</v>
      </c>
      <c r="C549" s="223"/>
      <c r="D549" s="223"/>
      <c r="E549" s="14"/>
      <c r="F549" s="47"/>
      <c r="G549" s="14"/>
      <c r="H549" s="203">
        <f>J549</f>
        <v>708.6126913999999</v>
      </c>
      <c r="I549" s="168" t="s">
        <v>622</v>
      </c>
      <c r="J549" s="209">
        <f>600519.23*1.18/1000</f>
        <v>708.6126913999999</v>
      </c>
      <c r="K549" s="11"/>
    </row>
    <row r="550" spans="1:12" s="3" customFormat="1" ht="34.5" customHeight="1" x14ac:dyDescent="0.25">
      <c r="A550" s="222"/>
      <c r="B550" s="271" t="s">
        <v>115</v>
      </c>
      <c r="C550" s="272"/>
      <c r="D550" s="273"/>
      <c r="E550" s="14">
        <f>76.28/1000</f>
        <v>7.6280000000000001E-2</v>
      </c>
      <c r="F550" s="50" t="s">
        <v>577</v>
      </c>
      <c r="G550" s="14">
        <f>E550</f>
        <v>7.6280000000000001E-2</v>
      </c>
      <c r="H550" s="203">
        <f>76.28/1000</f>
        <v>7.6280000000000001E-2</v>
      </c>
      <c r="I550" s="50" t="s">
        <v>544</v>
      </c>
      <c r="J550" s="209">
        <f>H550</f>
        <v>7.6280000000000001E-2</v>
      </c>
      <c r="K550" s="11"/>
    </row>
    <row r="551" spans="1:12" s="3" customFormat="1" ht="34.5" customHeight="1" x14ac:dyDescent="0.25">
      <c r="A551" s="222"/>
      <c r="B551" s="223" t="s">
        <v>133</v>
      </c>
      <c r="C551" s="223"/>
      <c r="D551" s="223"/>
      <c r="E551" s="14">
        <f>2364.63/1000</f>
        <v>2.36463</v>
      </c>
      <c r="F551" s="50" t="s">
        <v>577</v>
      </c>
      <c r="G551" s="14">
        <f>E551</f>
        <v>2.36463</v>
      </c>
      <c r="H551" s="203">
        <f>2364.63/1000</f>
        <v>2.36463</v>
      </c>
      <c r="I551" s="167" t="s">
        <v>544</v>
      </c>
      <c r="J551" s="209">
        <f>H551</f>
        <v>2.36463</v>
      </c>
      <c r="K551" s="11"/>
    </row>
    <row r="552" spans="1:12" s="3" customFormat="1" ht="34.5" customHeight="1" x14ac:dyDescent="0.25">
      <c r="A552" s="222"/>
      <c r="B552" s="223" t="s">
        <v>211</v>
      </c>
      <c r="C552" s="223"/>
      <c r="D552" s="223"/>
      <c r="E552" s="14">
        <f>G552</f>
        <v>2.2883499999999999</v>
      </c>
      <c r="F552" s="50" t="s">
        <v>577</v>
      </c>
      <c r="G552" s="14">
        <f>2288.35/1000</f>
        <v>2.2883499999999999</v>
      </c>
      <c r="H552" s="203">
        <f>J552</f>
        <v>2.2883499999999999</v>
      </c>
      <c r="I552" s="167" t="s">
        <v>544</v>
      </c>
      <c r="J552" s="209">
        <f>2288.35/1000</f>
        <v>2.2883499999999999</v>
      </c>
      <c r="K552" s="11"/>
    </row>
    <row r="553" spans="1:12" s="3" customFormat="1" x14ac:dyDescent="0.25">
      <c r="A553" s="222"/>
      <c r="B553" s="271" t="s">
        <v>250</v>
      </c>
      <c r="C553" s="272"/>
      <c r="D553" s="273"/>
      <c r="E553" s="14">
        <f>G553</f>
        <v>2.36463</v>
      </c>
      <c r="F553" s="50" t="s">
        <v>577</v>
      </c>
      <c r="G553" s="14">
        <f>2364.63/1000</f>
        <v>2.36463</v>
      </c>
      <c r="H553" s="203">
        <f>J553</f>
        <v>2.36463</v>
      </c>
      <c r="I553" s="167" t="s">
        <v>544</v>
      </c>
      <c r="J553" s="209">
        <f>2364.63/1000</f>
        <v>2.36463</v>
      </c>
    </row>
    <row r="554" spans="1:12" s="3" customFormat="1" ht="15.75" thickBot="1" x14ac:dyDescent="0.3">
      <c r="A554" s="235"/>
      <c r="B554" s="285" t="s">
        <v>349</v>
      </c>
      <c r="C554" s="286"/>
      <c r="D554" s="287"/>
      <c r="E554" s="33">
        <f>G554</f>
        <v>9.8655300000000015</v>
      </c>
      <c r="F554" s="34" t="s">
        <v>577</v>
      </c>
      <c r="G554" s="33">
        <v>9.8655300000000015</v>
      </c>
      <c r="H554" s="202">
        <f>J554</f>
        <v>9.8655300000000015</v>
      </c>
      <c r="I554" s="167" t="s">
        <v>544</v>
      </c>
      <c r="J554" s="92">
        <f>9865.53/1000</f>
        <v>9.8655300000000015</v>
      </c>
      <c r="K554" s="3">
        <v>2039.62227848523</v>
      </c>
      <c r="L554" s="3">
        <v>2039.6222784852266</v>
      </c>
    </row>
    <row r="555" spans="1:12" s="3" customFormat="1" ht="35.25" customHeight="1" x14ac:dyDescent="0.25">
      <c r="A555" s="233" t="s">
        <v>62</v>
      </c>
      <c r="B555" s="242" t="s">
        <v>109</v>
      </c>
      <c r="C555" s="242" t="s">
        <v>108</v>
      </c>
      <c r="D555" s="240">
        <v>123.27682</v>
      </c>
      <c r="E555" s="15">
        <f>G555</f>
        <v>31.99437</v>
      </c>
      <c r="F555" s="15" t="s">
        <v>146</v>
      </c>
      <c r="G555" s="15">
        <v>31.99437</v>
      </c>
      <c r="H555" s="199">
        <f>+J555</f>
        <v>91.28245179999999</v>
      </c>
      <c r="I555" s="177" t="s">
        <v>599</v>
      </c>
      <c r="J555" s="207">
        <f>77358.01*1.18/1000</f>
        <v>91.28245179999999</v>
      </c>
      <c r="K555" s="11">
        <f>SUM(K184:K554)</f>
        <v>99672.581211285215</v>
      </c>
      <c r="L555" s="3">
        <f>SUM(L184:L554)</f>
        <v>43843.232118485226</v>
      </c>
    </row>
    <row r="556" spans="1:12" s="3" customFormat="1" ht="33.75" customHeight="1" x14ac:dyDescent="0.25">
      <c r="A556" s="222"/>
      <c r="B556" s="243"/>
      <c r="C556" s="243"/>
      <c r="D556" s="241"/>
      <c r="E556" s="14">
        <f>G556</f>
        <v>91.282449999999997</v>
      </c>
      <c r="F556" s="14" t="s">
        <v>147</v>
      </c>
      <c r="G556" s="14">
        <f>91282.45/1000</f>
        <v>91.282449999999997</v>
      </c>
      <c r="H556" s="203">
        <f>+J556</f>
        <v>31.994366599999999</v>
      </c>
      <c r="I556" s="177" t="s">
        <v>600</v>
      </c>
      <c r="J556" s="209">
        <f>27113.87*1.18/1000</f>
        <v>31.994366599999999</v>
      </c>
      <c r="K556" s="11">
        <f>K555+K183</f>
        <v>110357.62906217689</v>
      </c>
      <c r="L556" s="3">
        <f>L555+L182</f>
        <v>46573.306029376894</v>
      </c>
    </row>
    <row r="557" spans="1:12" s="3" customFormat="1" ht="28.5" x14ac:dyDescent="0.25">
      <c r="A557" s="222"/>
      <c r="B557" s="274" t="s">
        <v>119</v>
      </c>
      <c r="C557" s="274" t="s">
        <v>140</v>
      </c>
      <c r="D557" s="239">
        <v>1780</v>
      </c>
      <c r="E557" s="239">
        <f>G557+G558</f>
        <v>2778.6735544000003</v>
      </c>
      <c r="F557" s="14" t="s">
        <v>139</v>
      </c>
      <c r="G557" s="14">
        <v>1780.0000044000001</v>
      </c>
      <c r="H557" s="203">
        <v>1780.0000044000001</v>
      </c>
      <c r="I557" s="50" t="s">
        <v>156</v>
      </c>
      <c r="J557" s="209">
        <f>1508474.58*1.18/1000</f>
        <v>1780.0000044000001</v>
      </c>
      <c r="K557" s="3">
        <v>120763.36421357701</v>
      </c>
      <c r="L557" s="3">
        <v>111624.31641937701</v>
      </c>
    </row>
    <row r="558" spans="1:12" ht="28.5" x14ac:dyDescent="0.25">
      <c r="A558" s="222"/>
      <c r="B558" s="243"/>
      <c r="C558" s="243"/>
      <c r="D558" s="241"/>
      <c r="E558" s="241"/>
      <c r="F558" s="14" t="s">
        <v>335</v>
      </c>
      <c r="G558" s="14">
        <f>998673.55/1000</f>
        <v>998.67355000000009</v>
      </c>
      <c r="H558" s="203">
        <f>J558</f>
        <v>998.67355359999999</v>
      </c>
      <c r="I558" s="50" t="s">
        <v>440</v>
      </c>
      <c r="J558" s="209">
        <f>846333.52*1.18/1000</f>
        <v>998.67355359999999</v>
      </c>
      <c r="K558" s="6">
        <f>K557-K556</f>
        <v>10405.73515140012</v>
      </c>
      <c r="L558" s="6">
        <f t="shared" ref="L558" si="40">L557-L556</f>
        <v>65051.010390000112</v>
      </c>
    </row>
    <row r="559" spans="1:12" ht="28.5" x14ac:dyDescent="0.25">
      <c r="A559" s="222"/>
      <c r="B559" s="274" t="s">
        <v>119</v>
      </c>
      <c r="C559" s="274" t="s">
        <v>337</v>
      </c>
      <c r="D559" s="239"/>
      <c r="E559" s="32">
        <f>G559</f>
        <v>6600</v>
      </c>
      <c r="F559" s="32" t="s">
        <v>336</v>
      </c>
      <c r="G559" s="32">
        <f>6600000/1000</f>
        <v>6600</v>
      </c>
      <c r="H559" s="239">
        <f>J559+J560</f>
        <v>4757.2608599999994</v>
      </c>
      <c r="I559" s="50" t="s">
        <v>441</v>
      </c>
      <c r="J559" s="209">
        <f>2757670*1.18/1000</f>
        <v>3254.0505999999996</v>
      </c>
    </row>
    <row r="560" spans="1:12" ht="28.5" x14ac:dyDescent="0.25">
      <c r="A560" s="222"/>
      <c r="B560" s="242"/>
      <c r="C560" s="242"/>
      <c r="D560" s="240"/>
      <c r="E560" s="16"/>
      <c r="F560" s="16"/>
      <c r="G560" s="16"/>
      <c r="H560" s="240"/>
      <c r="I560" s="51" t="s">
        <v>441</v>
      </c>
      <c r="J560" s="206">
        <f>1273907*1.18/1000</f>
        <v>1503.2102600000001</v>
      </c>
    </row>
    <row r="561" spans="1:10" ht="28.5" x14ac:dyDescent="0.25">
      <c r="A561" s="222"/>
      <c r="B561" s="242"/>
      <c r="C561" s="242"/>
      <c r="D561" s="14"/>
      <c r="E561" s="14">
        <f>+G561</f>
        <v>973.35092000000009</v>
      </c>
      <c r="F561" s="14" t="s">
        <v>508</v>
      </c>
      <c r="G561" s="14">
        <f>973350.92/1000</f>
        <v>973.35092000000009</v>
      </c>
      <c r="H561" s="203">
        <f>+J561</f>
        <v>1580.07428</v>
      </c>
      <c r="I561" s="178" t="s">
        <v>598</v>
      </c>
      <c r="J561" s="203">
        <f>1339046*1.18/1000</f>
        <v>1580.07428</v>
      </c>
    </row>
    <row r="562" spans="1:10" ht="28.5" x14ac:dyDescent="0.25">
      <c r="A562" s="222"/>
      <c r="B562" s="242"/>
      <c r="C562" s="242"/>
      <c r="D562" s="14"/>
      <c r="E562" s="84">
        <f>+G562</f>
        <v>193.21438000000001</v>
      </c>
      <c r="F562" s="83" t="s">
        <v>538</v>
      </c>
      <c r="G562" s="84">
        <f>193214.38/1000</f>
        <v>193.21438000000001</v>
      </c>
      <c r="H562" s="203">
        <f>+J562</f>
        <v>2965.8155400000001</v>
      </c>
      <c r="I562" s="178" t="s">
        <v>590</v>
      </c>
      <c r="J562" s="203">
        <f>2513403*1.18/1000</f>
        <v>2965.8155400000001</v>
      </c>
    </row>
    <row r="563" spans="1:10" ht="28.5" x14ac:dyDescent="0.25">
      <c r="A563" s="222"/>
      <c r="B563" s="242"/>
      <c r="C563" s="242"/>
      <c r="D563" s="14"/>
      <c r="E563" s="14">
        <f>+G563</f>
        <v>600</v>
      </c>
      <c r="F563" s="14" t="s">
        <v>539</v>
      </c>
      <c r="G563" s="14">
        <f>600000/1000</f>
        <v>600</v>
      </c>
      <c r="H563" s="203">
        <f>+J563</f>
        <v>193.21437999999998</v>
      </c>
      <c r="I563" s="178" t="s">
        <v>589</v>
      </c>
      <c r="J563" s="203">
        <f>163741*1.18/1000</f>
        <v>193.21437999999998</v>
      </c>
    </row>
    <row r="564" spans="1:10" ht="42.75" x14ac:dyDescent="0.25">
      <c r="A564" s="222"/>
      <c r="B564" s="242"/>
      <c r="C564" s="242"/>
      <c r="D564" s="14"/>
      <c r="E564" s="84">
        <f>+G564</f>
        <v>2365.8155400000001</v>
      </c>
      <c r="F564" s="83" t="s">
        <v>540</v>
      </c>
      <c r="G564" s="84">
        <f>2365815.54/1000</f>
        <v>2365.8155400000001</v>
      </c>
      <c r="H564" s="203">
        <f>+J564</f>
        <v>2816.09006</v>
      </c>
      <c r="I564" s="172" t="s">
        <v>573</v>
      </c>
      <c r="J564" s="203">
        <f>2386517*1.18/1000</f>
        <v>2816.09006</v>
      </c>
    </row>
    <row r="565" spans="1:10" s="22" customFormat="1" ht="33.75" customHeight="1" thickBot="1" x14ac:dyDescent="0.3">
      <c r="A565" s="235"/>
      <c r="B565" s="243"/>
      <c r="C565" s="243"/>
      <c r="D565" s="48"/>
      <c r="E565" s="131">
        <f>+G565</f>
        <v>600</v>
      </c>
      <c r="F565" s="83" t="s">
        <v>541</v>
      </c>
      <c r="G565" s="131">
        <f>600000/1000</f>
        <v>600</v>
      </c>
      <c r="H565" s="48"/>
      <c r="I565" s="48"/>
      <c r="J565" s="48"/>
    </row>
    <row r="566" spans="1:10" s="26" customFormat="1" ht="15.75" thickBot="1" x14ac:dyDescent="0.3">
      <c r="A566" s="63" t="s">
        <v>27</v>
      </c>
      <c r="B566" s="34"/>
      <c r="C566" s="34"/>
      <c r="D566" s="34"/>
      <c r="E566" s="132">
        <f>SUM(E184:E565)</f>
        <v>435240.41447839997</v>
      </c>
      <c r="F566" s="132"/>
      <c r="G566" s="132">
        <f>SUM(G184:G565)</f>
        <v>435240.41447839991</v>
      </c>
      <c r="H566" s="132">
        <f>SUM(H184:H565)</f>
        <v>291589.73967099999</v>
      </c>
      <c r="I566" s="132"/>
      <c r="J566" s="133">
        <f>SUM(J184:J564)</f>
        <v>291589.73967140011</v>
      </c>
    </row>
    <row r="567" spans="1:10" ht="30.75" thickBot="1" x14ac:dyDescent="0.3">
      <c r="A567" s="66" t="s">
        <v>28</v>
      </c>
      <c r="B567" s="134"/>
      <c r="C567" s="134"/>
      <c r="D567" s="134"/>
      <c r="E567" s="132">
        <f>2039.62227848523*9</f>
        <v>18356.600506367071</v>
      </c>
      <c r="F567" s="33"/>
      <c r="G567" s="132">
        <f>2039.62227848523*9</f>
        <v>18356.600506367071</v>
      </c>
      <c r="H567" s="132">
        <f>2039.62227848523*9</f>
        <v>18356.600506367071</v>
      </c>
      <c r="I567" s="33"/>
      <c r="J567" s="133">
        <f>2039.62227848523*9</f>
        <v>18356.600506367071</v>
      </c>
    </row>
    <row r="568" spans="1:10" ht="30.75" thickBot="1" x14ac:dyDescent="0.3">
      <c r="A568" s="63" t="s">
        <v>29</v>
      </c>
      <c r="B568" s="105"/>
      <c r="C568" s="105"/>
      <c r="D568" s="105"/>
      <c r="E568" s="103">
        <f>E566+E567</f>
        <v>453597.01498476701</v>
      </c>
      <c r="F568" s="94"/>
      <c r="G568" s="103">
        <f>G566+G567</f>
        <v>453597.01498476695</v>
      </c>
      <c r="H568" s="103">
        <f>H566+H567</f>
        <v>309946.34017736703</v>
      </c>
      <c r="I568" s="94"/>
      <c r="J568" s="104">
        <f>J566+J567</f>
        <v>309946.34017776715</v>
      </c>
    </row>
    <row r="569" spans="1:10" ht="49.5" customHeight="1" thickBot="1" x14ac:dyDescent="0.3">
      <c r="A569" s="63" t="s">
        <v>30</v>
      </c>
      <c r="B569" s="105"/>
      <c r="C569" s="105"/>
      <c r="D569" s="105"/>
      <c r="E569" s="103">
        <f>E182+E568</f>
        <v>537407.64485479204</v>
      </c>
      <c r="F569" s="103"/>
      <c r="G569" s="103">
        <f>G182+G568</f>
        <v>537407.64485479193</v>
      </c>
      <c r="H569" s="103">
        <f>H182+H568</f>
        <v>417097.27050859196</v>
      </c>
      <c r="I569" s="94"/>
      <c r="J569" s="104">
        <f>J182+J568</f>
        <v>417097.27050899208</v>
      </c>
    </row>
    <row r="570" spans="1:10" x14ac:dyDescent="0.25">
      <c r="A570" s="67"/>
      <c r="B570" s="67"/>
      <c r="C570" s="67"/>
      <c r="D570" s="67"/>
      <c r="E570" s="135"/>
      <c r="F570" s="136"/>
      <c r="G570" s="135"/>
      <c r="H570" s="137"/>
      <c r="I570" s="136"/>
      <c r="J570" s="135"/>
    </row>
    <row r="571" spans="1:10" x14ac:dyDescent="0.25">
      <c r="A571" s="68"/>
      <c r="B571" s="67"/>
      <c r="C571" s="67"/>
      <c r="D571" s="67"/>
      <c r="E571" s="138"/>
      <c r="F571" s="136"/>
      <c r="G571" s="135"/>
      <c r="H571" s="135"/>
      <c r="I571" s="136"/>
      <c r="J571" s="135"/>
    </row>
    <row r="572" spans="1:10" x14ac:dyDescent="0.25">
      <c r="A572" s="69" t="s">
        <v>509</v>
      </c>
      <c r="B572" s="68"/>
      <c r="C572" s="68"/>
      <c r="D572" s="68"/>
      <c r="E572" s="139"/>
      <c r="F572" s="68"/>
      <c r="G572" s="68"/>
      <c r="H572" s="138"/>
      <c r="I572" s="68"/>
      <c r="J572" s="140"/>
    </row>
    <row r="573" spans="1:10" x14ac:dyDescent="0.25">
      <c r="A573" s="70" t="s">
        <v>31</v>
      </c>
      <c r="B573" s="69"/>
      <c r="C573" s="69"/>
      <c r="D573" s="295"/>
      <c r="E573" s="295"/>
      <c r="F573" s="68"/>
      <c r="G573" s="68"/>
      <c r="H573" s="141"/>
      <c r="I573" s="68"/>
      <c r="J573" s="140"/>
    </row>
    <row r="574" spans="1:10" x14ac:dyDescent="0.25">
      <c r="A574" s="69" t="s">
        <v>32</v>
      </c>
      <c r="B574" s="70"/>
      <c r="C574" s="70"/>
      <c r="D574" s="296"/>
      <c r="E574" s="296"/>
      <c r="F574" s="68"/>
      <c r="G574" s="68"/>
      <c r="H574" s="142"/>
      <c r="I574" s="68"/>
      <c r="J574" s="140"/>
    </row>
    <row r="575" spans="1:10" ht="86.25" customHeight="1" thickBot="1" x14ac:dyDescent="0.3">
      <c r="A575" s="71"/>
      <c r="B575" s="143"/>
      <c r="C575" s="70"/>
      <c r="D575" s="70"/>
      <c r="E575" s="144"/>
      <c r="F575" s="68"/>
      <c r="G575" s="140"/>
      <c r="H575" s="142"/>
      <c r="I575" s="68"/>
      <c r="J575" s="140"/>
    </row>
    <row r="576" spans="1:10" x14ac:dyDescent="0.25">
      <c r="A576" s="225" t="s">
        <v>33</v>
      </c>
      <c r="B576" s="227" t="s">
        <v>34</v>
      </c>
      <c r="C576" s="227" t="s">
        <v>35</v>
      </c>
      <c r="D576" s="229"/>
      <c r="E576" s="144"/>
      <c r="F576" s="142"/>
      <c r="G576" s="142"/>
      <c r="H576" s="142"/>
      <c r="I576" s="68"/>
      <c r="J576" s="140"/>
    </row>
    <row r="577" spans="1:10" ht="15.75" customHeight="1" thickBot="1" x14ac:dyDescent="0.3">
      <c r="A577" s="226"/>
      <c r="B577" s="228"/>
      <c r="C577" s="228"/>
      <c r="D577" s="230"/>
      <c r="E577" s="144"/>
      <c r="F577" s="142"/>
      <c r="G577" s="142"/>
      <c r="H577" s="142"/>
      <c r="I577" s="68"/>
      <c r="J577" s="140"/>
    </row>
    <row r="578" spans="1:10" ht="29.25" thickBot="1" x14ac:dyDescent="0.3">
      <c r="A578" s="72" t="s">
        <v>36</v>
      </c>
      <c r="B578" s="159">
        <v>417097.27</v>
      </c>
      <c r="C578" s="293">
        <v>537407.64</v>
      </c>
      <c r="D578" s="294"/>
      <c r="E578" s="144"/>
      <c r="F578" s="145"/>
      <c r="G578" s="145"/>
      <c r="H578" s="146"/>
      <c r="I578" s="146"/>
      <c r="J578" s="147"/>
    </row>
    <row r="579" spans="1:10" ht="15.75" thickBot="1" x14ac:dyDescent="0.3">
      <c r="A579" s="72" t="s">
        <v>37</v>
      </c>
      <c r="B579" s="160">
        <v>372588.41</v>
      </c>
      <c r="C579" s="288">
        <v>372588.41</v>
      </c>
      <c r="D579" s="289"/>
      <c r="E579" s="148"/>
      <c r="F579" s="145"/>
      <c r="G579" s="145"/>
      <c r="H579" s="146"/>
      <c r="I579" s="146"/>
      <c r="J579" s="149"/>
    </row>
    <row r="580" spans="1:10" ht="29.25" thickBot="1" x14ac:dyDescent="0.3">
      <c r="A580" s="72" t="s">
        <v>38</v>
      </c>
      <c r="B580" s="160">
        <v>80136.44</v>
      </c>
      <c r="C580" s="288">
        <v>79100.91</v>
      </c>
      <c r="D580" s="289"/>
      <c r="E580" s="148"/>
      <c r="F580" s="145"/>
      <c r="G580" s="145"/>
      <c r="H580" s="150"/>
      <c r="I580" s="150"/>
      <c r="J580" s="149"/>
    </row>
    <row r="581" spans="1:10" ht="15.75" thickBot="1" x14ac:dyDescent="0.3">
      <c r="A581" s="73" t="s">
        <v>39</v>
      </c>
      <c r="B581" s="160">
        <v>3042.81</v>
      </c>
      <c r="C581" s="288">
        <v>2742.93</v>
      </c>
      <c r="D581" s="289"/>
      <c r="E581" s="148"/>
      <c r="F581" s="145"/>
      <c r="G581" s="145"/>
      <c r="H581" s="150"/>
      <c r="I581" s="150"/>
      <c r="J581" s="149"/>
    </row>
    <row r="582" spans="1:10" ht="15.75" thickBot="1" x14ac:dyDescent="0.3">
      <c r="A582" s="73" t="s">
        <v>40</v>
      </c>
      <c r="B582" s="161">
        <v>77093.63</v>
      </c>
      <c r="C582" s="291">
        <v>76357.98</v>
      </c>
      <c r="D582" s="292"/>
      <c r="E582" s="148"/>
      <c r="F582" s="145"/>
      <c r="G582" s="145"/>
      <c r="H582" s="146"/>
      <c r="I582" s="146"/>
      <c r="J582" s="149"/>
    </row>
    <row r="583" spans="1:10" ht="72" thickBot="1" x14ac:dyDescent="0.3">
      <c r="A583" s="72" t="s">
        <v>44</v>
      </c>
      <c r="B583" s="161">
        <v>318667.17</v>
      </c>
      <c r="C583" s="291">
        <v>308064.44</v>
      </c>
      <c r="D583" s="292"/>
      <c r="E583" s="148"/>
      <c r="F583" s="145"/>
      <c r="G583" s="145"/>
      <c r="H583" s="151"/>
      <c r="I583" s="151"/>
      <c r="J583" s="149"/>
    </row>
    <row r="584" spans="1:10" ht="15.75" thickBot="1" x14ac:dyDescent="0.3">
      <c r="A584" s="72" t="s">
        <v>176</v>
      </c>
      <c r="B584" s="162">
        <v>2546.14</v>
      </c>
      <c r="C584" s="288">
        <v>2546.14</v>
      </c>
      <c r="D584" s="289"/>
      <c r="E584" s="148"/>
      <c r="F584" s="145"/>
      <c r="G584" s="145"/>
      <c r="H584" s="151"/>
      <c r="I584" s="151"/>
      <c r="J584" s="149"/>
    </row>
    <row r="585" spans="1:10" ht="43.5" thickBot="1" x14ac:dyDescent="0.3">
      <c r="A585" s="72" t="s">
        <v>41</v>
      </c>
      <c r="B585" s="160">
        <v>-12402.93</v>
      </c>
      <c r="C585" s="288">
        <v>-46611.71</v>
      </c>
      <c r="D585" s="289"/>
      <c r="E585" s="148"/>
      <c r="F585" s="145"/>
      <c r="G585" s="145"/>
      <c r="H585" s="152"/>
      <c r="I585" s="152"/>
      <c r="J585" s="149"/>
    </row>
    <row r="586" spans="1:10" ht="29.25" thickBot="1" x14ac:dyDescent="0.3">
      <c r="A586" s="73" t="s">
        <v>42</v>
      </c>
      <c r="B586" s="160">
        <v>61013.18</v>
      </c>
      <c r="C586" s="288">
        <v>95221.96</v>
      </c>
      <c r="D586" s="289"/>
      <c r="E586" s="148"/>
      <c r="F586" s="145"/>
      <c r="G586" s="145"/>
      <c r="H586" s="152"/>
      <c r="I586" s="152"/>
      <c r="J586" s="149"/>
    </row>
    <row r="587" spans="1:10" ht="15.75" thickBot="1" x14ac:dyDescent="0.3">
      <c r="A587" s="73" t="s">
        <v>43</v>
      </c>
      <c r="B587" s="160">
        <v>48610.25</v>
      </c>
      <c r="C587" s="288">
        <v>48610.25</v>
      </c>
      <c r="D587" s="289"/>
      <c r="E587" s="148"/>
      <c r="F587" s="145"/>
      <c r="G587" s="145"/>
      <c r="H587" s="152"/>
      <c r="I587" s="152"/>
      <c r="J587" s="149"/>
    </row>
    <row r="588" spans="1:10" x14ac:dyDescent="0.25">
      <c r="A588" s="68"/>
      <c r="B588" s="153"/>
      <c r="C588" s="290"/>
      <c r="D588" s="290"/>
      <c r="E588" s="148"/>
      <c r="F588" s="145"/>
      <c r="G588" s="145"/>
      <c r="H588" s="152"/>
      <c r="I588" s="152"/>
      <c r="J588" s="149"/>
    </row>
    <row r="589" spans="1:10" x14ac:dyDescent="0.25">
      <c r="A589" s="155"/>
      <c r="B589" s="163"/>
      <c r="C589" s="155"/>
      <c r="D589" s="163"/>
      <c r="E589" s="164"/>
      <c r="F589" s="145"/>
      <c r="G589" s="145"/>
      <c r="H589" s="146"/>
      <c r="I589" s="146"/>
      <c r="J589" s="149"/>
    </row>
    <row r="590" spans="1:10" x14ac:dyDescent="0.25">
      <c r="A590" s="155"/>
      <c r="B590" s="163"/>
      <c r="C590" s="155"/>
      <c r="D590" s="163"/>
      <c r="E590" s="164"/>
      <c r="F590" s="145"/>
      <c r="G590" s="145"/>
      <c r="H590" s="146"/>
      <c r="I590" s="146"/>
      <c r="J590" s="149"/>
    </row>
    <row r="591" spans="1:10" ht="15.75" x14ac:dyDescent="0.25">
      <c r="A591" s="309"/>
      <c r="B591" s="310"/>
      <c r="C591" s="309"/>
      <c r="D591" s="310"/>
      <c r="E591" s="311"/>
      <c r="F591" s="145"/>
      <c r="G591" s="145"/>
      <c r="H591" s="151"/>
      <c r="I591" s="151"/>
      <c r="J591" s="149"/>
    </row>
    <row r="592" spans="1:10" ht="15.75" x14ac:dyDescent="0.25">
      <c r="A592" s="312" t="s">
        <v>45</v>
      </c>
      <c r="B592" s="309"/>
      <c r="C592" s="309"/>
      <c r="D592" s="309"/>
      <c r="E592" s="313" t="s">
        <v>578</v>
      </c>
      <c r="F592" s="145"/>
      <c r="G592" s="145"/>
      <c r="H592" s="151"/>
      <c r="I592" s="151"/>
      <c r="J592" s="147"/>
    </row>
    <row r="593" spans="1:10" x14ac:dyDescent="0.25">
      <c r="A593" s="165"/>
      <c r="B593" s="166"/>
      <c r="C593" s="166"/>
      <c r="D593" s="155"/>
      <c r="E593" s="155"/>
      <c r="F593" s="145"/>
      <c r="G593" s="145"/>
      <c r="H593" s="145"/>
      <c r="I593" s="155"/>
      <c r="J593" s="155"/>
    </row>
    <row r="594" spans="1:10" x14ac:dyDescent="0.25">
      <c r="A594" s="165"/>
      <c r="B594" s="166"/>
      <c r="C594" s="166"/>
      <c r="D594" s="155"/>
      <c r="E594" s="155"/>
      <c r="F594" s="145"/>
      <c r="G594" s="145"/>
      <c r="H594" s="145"/>
      <c r="I594" s="155"/>
      <c r="J594" s="155"/>
    </row>
    <row r="595" spans="1:10" x14ac:dyDescent="0.25">
      <c r="A595" s="74"/>
      <c r="B595" s="154"/>
      <c r="C595" s="154"/>
      <c r="D595" s="68"/>
      <c r="E595" s="68"/>
      <c r="F595" s="145"/>
      <c r="G595" s="145"/>
      <c r="H595" s="145"/>
      <c r="I595" s="155"/>
      <c r="J595" s="155"/>
    </row>
    <row r="596" spans="1:10" ht="15.75" x14ac:dyDescent="0.25">
      <c r="A596" s="314" t="s">
        <v>651</v>
      </c>
      <c r="B596" s="315"/>
      <c r="C596" s="315"/>
      <c r="D596" s="316"/>
      <c r="E596" s="315" t="s">
        <v>46</v>
      </c>
      <c r="F596" s="311"/>
      <c r="G596" s="145"/>
      <c r="H596" s="145"/>
      <c r="I596" s="155"/>
      <c r="J596" s="155"/>
    </row>
  </sheetData>
  <mergeCells count="325">
    <mergeCell ref="B78:B98"/>
    <mergeCell ref="I20:I21"/>
    <mergeCell ref="I531:I532"/>
    <mergeCell ref="I543:I544"/>
    <mergeCell ref="I264:I269"/>
    <mergeCell ref="H264:H269"/>
    <mergeCell ref="I270:I278"/>
    <mergeCell ref="H270:H278"/>
    <mergeCell ref="I279:I280"/>
    <mergeCell ref="B533:B544"/>
    <mergeCell ref="C533:C544"/>
    <mergeCell ref="D533:D544"/>
    <mergeCell ref="B528:B532"/>
    <mergeCell ref="C528:C532"/>
    <mergeCell ref="D528:D532"/>
    <mergeCell ref="B467:B480"/>
    <mergeCell ref="C467:C480"/>
    <mergeCell ref="B455:B460"/>
    <mergeCell ref="C455:C460"/>
    <mergeCell ref="D455:D460"/>
    <mergeCell ref="D518:D524"/>
    <mergeCell ref="B513:D513"/>
    <mergeCell ref="D452:D454"/>
    <mergeCell ref="I455:I456"/>
    <mergeCell ref="I281:I284"/>
    <mergeCell ref="I285:I287"/>
    <mergeCell ref="D462:D466"/>
    <mergeCell ref="E462:E466"/>
    <mergeCell ref="H462:H463"/>
    <mergeCell ref="D446:D448"/>
    <mergeCell ref="H444:H445"/>
    <mergeCell ref="H455:H458"/>
    <mergeCell ref="I329:I336"/>
    <mergeCell ref="I342:I345"/>
    <mergeCell ref="I348:I353"/>
    <mergeCell ref="I354:I358"/>
    <mergeCell ref="I359:I362"/>
    <mergeCell ref="I363:I365"/>
    <mergeCell ref="I366:I370"/>
    <mergeCell ref="I376:I378"/>
    <mergeCell ref="I379:I380"/>
    <mergeCell ref="I372:I375"/>
    <mergeCell ref="I294:I297"/>
    <mergeCell ref="I298:I299"/>
    <mergeCell ref="I300:I302"/>
    <mergeCell ref="H151:H157"/>
    <mergeCell ref="B145:D145"/>
    <mergeCell ref="B106:B121"/>
    <mergeCell ref="E163:E164"/>
    <mergeCell ref="B190:C190"/>
    <mergeCell ref="B194:C194"/>
    <mergeCell ref="B193:C193"/>
    <mergeCell ref="E305:E306"/>
    <mergeCell ref="D163:D168"/>
    <mergeCell ref="B209:B302"/>
    <mergeCell ref="C209:C302"/>
    <mergeCell ref="D209:D302"/>
    <mergeCell ref="B174:D174"/>
    <mergeCell ref="C151:C162"/>
    <mergeCell ref="D151:D162"/>
    <mergeCell ref="B142:D142"/>
    <mergeCell ref="B144:D144"/>
    <mergeCell ref="D432:D433"/>
    <mergeCell ref="B434:B437"/>
    <mergeCell ref="C434:C437"/>
    <mergeCell ref="D434:D437"/>
    <mergeCell ref="C442:C445"/>
    <mergeCell ref="D442:D445"/>
    <mergeCell ref="B449:B451"/>
    <mergeCell ref="D467:D478"/>
    <mergeCell ref="B482:B507"/>
    <mergeCell ref="C482:C488"/>
    <mergeCell ref="D482:D489"/>
    <mergeCell ref="C490:C492"/>
    <mergeCell ref="D490:D498"/>
    <mergeCell ref="B438:B440"/>
    <mergeCell ref="C438:C440"/>
    <mergeCell ref="D438:D440"/>
    <mergeCell ref="B452:B454"/>
    <mergeCell ref="C452:C454"/>
    <mergeCell ref="C449:C451"/>
    <mergeCell ref="D449:D451"/>
    <mergeCell ref="B462:B466"/>
    <mergeCell ref="B177:D177"/>
    <mergeCell ref="B426:D426"/>
    <mergeCell ref="B403:C403"/>
    <mergeCell ref="B151:B162"/>
    <mergeCell ref="B178:D178"/>
    <mergeCell ref="B427:D427"/>
    <mergeCell ref="B404:C404"/>
    <mergeCell ref="B179:D179"/>
    <mergeCell ref="B175:D175"/>
    <mergeCell ref="B408:B418"/>
    <mergeCell ref="C408:C418"/>
    <mergeCell ref="D408:D418"/>
    <mergeCell ref="B163:B167"/>
    <mergeCell ref="C163:C167"/>
    <mergeCell ref="B176:D176"/>
    <mergeCell ref="B192:C192"/>
    <mergeCell ref="B173:D173"/>
    <mergeCell ref="B189:C189"/>
    <mergeCell ref="C586:D586"/>
    <mergeCell ref="C587:D587"/>
    <mergeCell ref="C588:D588"/>
    <mergeCell ref="C583:D583"/>
    <mergeCell ref="C584:D584"/>
    <mergeCell ref="C585:D585"/>
    <mergeCell ref="B559:B565"/>
    <mergeCell ref="D555:D556"/>
    <mergeCell ref="B557:B558"/>
    <mergeCell ref="C581:D581"/>
    <mergeCell ref="C582:D582"/>
    <mergeCell ref="C580:D580"/>
    <mergeCell ref="C578:D578"/>
    <mergeCell ref="C579:D579"/>
    <mergeCell ref="C559:C565"/>
    <mergeCell ref="C557:C558"/>
    <mergeCell ref="D557:D558"/>
    <mergeCell ref="D573:E573"/>
    <mergeCell ref="D574:E574"/>
    <mergeCell ref="A555:A565"/>
    <mergeCell ref="B548:D548"/>
    <mergeCell ref="B549:D549"/>
    <mergeCell ref="B550:D550"/>
    <mergeCell ref="B551:D551"/>
    <mergeCell ref="B552:D552"/>
    <mergeCell ref="B553:D553"/>
    <mergeCell ref="B554:D554"/>
    <mergeCell ref="E557:E558"/>
    <mergeCell ref="D559:D560"/>
    <mergeCell ref="A432:A466"/>
    <mergeCell ref="B432:B433"/>
    <mergeCell ref="I521:I524"/>
    <mergeCell ref="H535:H537"/>
    <mergeCell ref="I535:I537"/>
    <mergeCell ref="H539:H542"/>
    <mergeCell ref="I539:I542"/>
    <mergeCell ref="H521:H524"/>
    <mergeCell ref="A515:A554"/>
    <mergeCell ref="D516:D517"/>
    <mergeCell ref="B516:B517"/>
    <mergeCell ref="B518:B525"/>
    <mergeCell ref="C518:C525"/>
    <mergeCell ref="A467:A514"/>
    <mergeCell ref="E468:E469"/>
    <mergeCell ref="F468:F469"/>
    <mergeCell ref="H470:H471"/>
    <mergeCell ref="I470:I471"/>
    <mergeCell ref="H472:H474"/>
    <mergeCell ref="I472:I474"/>
    <mergeCell ref="H487:H507"/>
    <mergeCell ref="C493:C498"/>
    <mergeCell ref="C499:C507"/>
    <mergeCell ref="D499:D507"/>
    <mergeCell ref="A405:A406"/>
    <mergeCell ref="A408:A427"/>
    <mergeCell ref="E408:E412"/>
    <mergeCell ref="H408:H415"/>
    <mergeCell ref="B419:D419"/>
    <mergeCell ref="A429:A431"/>
    <mergeCell ref="B430:B431"/>
    <mergeCell ref="C430:C431"/>
    <mergeCell ref="D430:D431"/>
    <mergeCell ref="B424:D424"/>
    <mergeCell ref="B425:D425"/>
    <mergeCell ref="J309:J310"/>
    <mergeCell ref="H311:H315"/>
    <mergeCell ref="I311:I315"/>
    <mergeCell ref="H316:H321"/>
    <mergeCell ref="I316:I321"/>
    <mergeCell ref="H322:H328"/>
    <mergeCell ref="I322:I328"/>
    <mergeCell ref="H309:H310"/>
    <mergeCell ref="I305:I308"/>
    <mergeCell ref="I309:I310"/>
    <mergeCell ref="I209:I211"/>
    <mergeCell ref="H212:H214"/>
    <mergeCell ref="H215:H216"/>
    <mergeCell ref="I215:I216"/>
    <mergeCell ref="H217:H220"/>
    <mergeCell ref="I217:I220"/>
    <mergeCell ref="H221:H227"/>
    <mergeCell ref="I221:I227"/>
    <mergeCell ref="H228:H263"/>
    <mergeCell ref="I228:I255"/>
    <mergeCell ref="I256:I263"/>
    <mergeCell ref="H559:H560"/>
    <mergeCell ref="B508:B509"/>
    <mergeCell ref="C508:C509"/>
    <mergeCell ref="C516:C517"/>
    <mergeCell ref="B555:B556"/>
    <mergeCell ref="C555:C556"/>
    <mergeCell ref="H329:H336"/>
    <mergeCell ref="B423:D423"/>
    <mergeCell ref="C446:C448"/>
    <mergeCell ref="B401:C401"/>
    <mergeCell ref="B397:C397"/>
    <mergeCell ref="B387:B388"/>
    <mergeCell ref="C387:C388"/>
    <mergeCell ref="D303:D341"/>
    <mergeCell ref="B303:B380"/>
    <mergeCell ref="C303:C380"/>
    <mergeCell ref="B389:B394"/>
    <mergeCell ref="C389:C394"/>
    <mergeCell ref="B514:D514"/>
    <mergeCell ref="C462:C466"/>
    <mergeCell ref="C510:C511"/>
    <mergeCell ref="B510:B511"/>
    <mergeCell ref="B402:C402"/>
    <mergeCell ref="C432:C433"/>
    <mergeCell ref="E12:E14"/>
    <mergeCell ref="B27:B30"/>
    <mergeCell ref="C27:C30"/>
    <mergeCell ref="D27:D30"/>
    <mergeCell ref="E27:E30"/>
    <mergeCell ref="C31:C39"/>
    <mergeCell ref="D31:D39"/>
    <mergeCell ref="I467:I468"/>
    <mergeCell ref="E455:E458"/>
    <mergeCell ref="B398:C398"/>
    <mergeCell ref="B399:C399"/>
    <mergeCell ref="B420:D420"/>
    <mergeCell ref="B446:B448"/>
    <mergeCell ref="B421:D421"/>
    <mergeCell ref="B400:C400"/>
    <mergeCell ref="H305:H308"/>
    <mergeCell ref="B422:D422"/>
    <mergeCell ref="B64:C64"/>
    <mergeCell ref="H201:H203"/>
    <mergeCell ref="H209:H211"/>
    <mergeCell ref="E201:E205"/>
    <mergeCell ref="H337:H341"/>
    <mergeCell ref="B442:B445"/>
    <mergeCell ref="D51:D52"/>
    <mergeCell ref="B48:B49"/>
    <mergeCell ref="C48:C49"/>
    <mergeCell ref="D48:D49"/>
    <mergeCell ref="B12:B24"/>
    <mergeCell ref="C12:C24"/>
    <mergeCell ref="B61:D61"/>
    <mergeCell ref="B57:D57"/>
    <mergeCell ref="D12:D24"/>
    <mergeCell ref="B31:B41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8:J8"/>
    <mergeCell ref="B9:B10"/>
    <mergeCell ref="D99:D105"/>
    <mergeCell ref="J9:J10"/>
    <mergeCell ref="B67:C67"/>
    <mergeCell ref="C9:C10"/>
    <mergeCell ref="D9:D10"/>
    <mergeCell ref="E9:E10"/>
    <mergeCell ref="F9:F10"/>
    <mergeCell ref="G9:G10"/>
    <mergeCell ref="H9:H10"/>
    <mergeCell ref="I9:I10"/>
    <mergeCell ref="B65:C65"/>
    <mergeCell ref="F12:F14"/>
    <mergeCell ref="G12:G14"/>
    <mergeCell ref="H12:H14"/>
    <mergeCell ref="I34:I35"/>
    <mergeCell ref="B58:D58"/>
    <mergeCell ref="B59:D59"/>
    <mergeCell ref="B66:C66"/>
    <mergeCell ref="B56:D56"/>
    <mergeCell ref="B63:C63"/>
    <mergeCell ref="B51:B52"/>
    <mergeCell ref="C51:C52"/>
    <mergeCell ref="B68:C68"/>
    <mergeCell ref="B69:C69"/>
    <mergeCell ref="B60:D60"/>
    <mergeCell ref="C106:C121"/>
    <mergeCell ref="D106:D121"/>
    <mergeCell ref="B73:B77"/>
    <mergeCell ref="C73:C77"/>
    <mergeCell ref="H78:H83"/>
    <mergeCell ref="B171:B172"/>
    <mergeCell ref="H99:H104"/>
    <mergeCell ref="H106:H116"/>
    <mergeCell ref="E108:E113"/>
    <mergeCell ref="E127:E128"/>
    <mergeCell ref="D127:D128"/>
    <mergeCell ref="B141:D141"/>
    <mergeCell ref="C122:C125"/>
    <mergeCell ref="B122:B125"/>
    <mergeCell ref="B127:B129"/>
    <mergeCell ref="C127:C129"/>
    <mergeCell ref="B139:B140"/>
    <mergeCell ref="C139:C140"/>
    <mergeCell ref="D73:D77"/>
    <mergeCell ref="B143:D143"/>
    <mergeCell ref="B62:C62"/>
    <mergeCell ref="A184:A194"/>
    <mergeCell ref="A151:A179"/>
    <mergeCell ref="B191:C191"/>
    <mergeCell ref="I288:I292"/>
    <mergeCell ref="A576:A577"/>
    <mergeCell ref="B576:B577"/>
    <mergeCell ref="C576:D577"/>
    <mergeCell ref="A9:A56"/>
    <mergeCell ref="A57:A69"/>
    <mergeCell ref="A70:A104"/>
    <mergeCell ref="A105:A145"/>
    <mergeCell ref="A195:A284"/>
    <mergeCell ref="A285:A380"/>
    <mergeCell ref="A381:A404"/>
    <mergeCell ref="B196:B200"/>
    <mergeCell ref="C196:C200"/>
    <mergeCell ref="D196:D200"/>
    <mergeCell ref="B201:B208"/>
    <mergeCell ref="C201:C208"/>
    <mergeCell ref="D201:D208"/>
    <mergeCell ref="C78:C98"/>
    <mergeCell ref="D78:D98"/>
    <mergeCell ref="B99:B105"/>
    <mergeCell ref="C99:C105"/>
  </mergeCells>
  <pageMargins left="0" right="0" top="0" bottom="0" header="0" footer="0"/>
  <pageSetup paperSize="9" scale="46" fitToHeight="0" orientation="portrait" r:id="rId1"/>
  <rowBreaks count="8" manualBreakCount="8">
    <brk id="146" max="9" man="1"/>
    <brk id="190" max="9" man="1"/>
    <brk id="278" max="9" man="1"/>
    <brk id="370" max="9" man="1"/>
    <brk id="425" max="9" man="1"/>
    <brk id="479" max="9" man="1"/>
    <brk id="517" max="9" man="1"/>
    <brk id="5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печать</vt:lpstr>
      <vt:lpstr>печать!Заголовки_для_печати</vt:lpstr>
      <vt:lpstr>печать!Область_печати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2018-11-01T11:49:08Z</dcterms:modified>
</cp:coreProperties>
</file>