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 defaultThemeVersion="124226"/>
  <bookViews>
    <workbookView xWindow="240" yWindow="4725" windowWidth="19005" windowHeight="7080" activeTab="1"/>
  </bookViews>
  <sheets>
    <sheet name="ИП 2012-2018" sheetId="7" r:id="rId1"/>
    <sheet name="ИП 2019-2024" sheetId="8" r:id="rId2"/>
  </sheets>
  <definedNames>
    <definedName name="_xlnm._FilterDatabase" localSheetId="0" hidden="1">'ИП 2012-2018'!$A$8:$J$8</definedName>
    <definedName name="_xlnm.Print_Titles" localSheetId="1">'ИП 2019-2024'!$A:$J,'ИП 2019-2024'!$6:$7</definedName>
    <definedName name="_xlnm.Print_Area" localSheetId="0">'ИП 2012-2018'!$A$1:$J$28</definedName>
    <definedName name="_xlnm.Print_Area" localSheetId="1">'ИП 2019-2024'!$A$1:$J$229</definedName>
  </definedNames>
  <calcPr calcId="145621"/>
</workbook>
</file>

<file path=xl/calcChain.xml><?xml version="1.0" encoding="utf-8"?>
<calcChain xmlns="http://schemas.openxmlformats.org/spreadsheetml/2006/main">
  <c r="E225" i="8" l="1"/>
  <c r="J175" i="8" l="1"/>
  <c r="J187" i="8"/>
  <c r="J146" i="8" l="1"/>
  <c r="J112" i="8"/>
  <c r="G63" i="8" l="1"/>
  <c r="E63" i="8" s="1"/>
  <c r="E17" i="8" l="1"/>
  <c r="G213" i="8" l="1"/>
  <c r="E213" i="8" s="1"/>
  <c r="E131" i="8"/>
  <c r="G131" i="8"/>
  <c r="G138" i="8"/>
  <c r="E138" i="8" s="1"/>
  <c r="E221" i="8"/>
  <c r="G221" i="8"/>
  <c r="G194" i="8"/>
  <c r="E194" i="8" s="1"/>
  <c r="E187" i="8"/>
  <c r="G187" i="8"/>
  <c r="G179" i="8"/>
  <c r="E179" i="8" s="1"/>
  <c r="E116" i="8"/>
  <c r="G116" i="8"/>
  <c r="G173" i="8"/>
  <c r="E173" i="8" s="1"/>
  <c r="G110" i="8" l="1"/>
  <c r="E110" i="8" s="1"/>
  <c r="E98" i="8"/>
  <c r="G98" i="8"/>
  <c r="G125" i="8"/>
  <c r="E125" i="8" s="1"/>
  <c r="E91" i="8"/>
  <c r="G91" i="8"/>
  <c r="G81" i="8"/>
  <c r="E81" i="8" l="1"/>
  <c r="E72" i="8"/>
  <c r="G72" i="8"/>
  <c r="G68" i="8"/>
  <c r="E68" i="8" s="1"/>
  <c r="G59" i="8"/>
  <c r="E59" i="8" s="1"/>
  <c r="G50" i="8"/>
  <c r="E50" i="8" s="1"/>
  <c r="G55" i="8"/>
  <c r="E55" i="8" s="1"/>
  <c r="G44" i="8"/>
  <c r="E44" i="8" s="1"/>
  <c r="G25" i="8"/>
  <c r="E25" i="8" s="1"/>
  <c r="G12" i="8" l="1"/>
  <c r="E12" i="8" s="1"/>
  <c r="G164" i="8"/>
  <c r="E164" i="8" s="1"/>
  <c r="J221" i="8" l="1"/>
  <c r="H221" i="8" s="1"/>
  <c r="J98" i="8"/>
  <c r="H98" i="8" s="1"/>
  <c r="J164" i="8"/>
  <c r="H164" i="8" s="1"/>
  <c r="H187" i="8"/>
  <c r="J138" i="8"/>
  <c r="H138" i="8" s="1"/>
  <c r="J131" i="8"/>
  <c r="H131" i="8" s="1"/>
  <c r="J50" i="8"/>
  <c r="H50" i="8" s="1"/>
  <c r="J63" i="8"/>
  <c r="H63" i="8" s="1"/>
  <c r="J44" i="8"/>
  <c r="H44" i="8" s="1"/>
  <c r="J91" i="8"/>
  <c r="H91" i="8" s="1"/>
  <c r="J125" i="8"/>
  <c r="H125" i="8" s="1"/>
  <c r="J179" i="8"/>
  <c r="H179" i="8" s="1"/>
  <c r="J213" i="8"/>
  <c r="H213" i="8" s="1"/>
  <c r="J173" i="8"/>
  <c r="H173" i="8" s="1"/>
  <c r="J116" i="8"/>
  <c r="H116" i="8" s="1"/>
  <c r="J194" i="8"/>
  <c r="H194" i="8" s="1"/>
  <c r="J110" i="8"/>
  <c r="H110" i="8" s="1"/>
  <c r="J25" i="8"/>
  <c r="H25" i="8" s="1"/>
  <c r="J202" i="8"/>
  <c r="H202" i="8" s="1"/>
  <c r="J201" i="8"/>
  <c r="H201" i="8" s="1"/>
  <c r="J30" i="8"/>
  <c r="H30" i="8" s="1"/>
  <c r="J29" i="8"/>
  <c r="H29" i="8" s="1"/>
  <c r="J28" i="8"/>
  <c r="H28" i="8" s="1"/>
  <c r="J182" i="8"/>
  <c r="H182" i="8" s="1"/>
  <c r="J200" i="8"/>
  <c r="H200" i="8" s="1"/>
  <c r="J151" i="8"/>
  <c r="H151" i="8" s="1"/>
  <c r="H175" i="8"/>
  <c r="E158" i="8" l="1"/>
  <c r="J158" i="8"/>
  <c r="H158" i="8" s="1"/>
  <c r="G106" i="8"/>
  <c r="E106" i="8" s="1"/>
  <c r="G101" i="8"/>
  <c r="E101" i="8" s="1"/>
  <c r="G151" i="8"/>
  <c r="E151" i="8" s="1"/>
  <c r="G150" i="8"/>
  <c r="E150" i="8" s="1"/>
  <c r="G20" i="8"/>
  <c r="E20" i="8" s="1"/>
  <c r="G154" i="8"/>
  <c r="E154" i="8" s="1"/>
  <c r="G120" i="8"/>
  <c r="E120" i="8" s="1"/>
  <c r="G119" i="8"/>
  <c r="E119" i="8" s="1"/>
  <c r="G38" i="8"/>
  <c r="E38" i="8" s="1"/>
  <c r="G37" i="8"/>
  <c r="E37" i="8" s="1"/>
  <c r="J206" i="8" l="1"/>
  <c r="G215" i="8"/>
  <c r="E215" i="8" s="1"/>
  <c r="G133" i="8"/>
  <c r="E133" i="8" s="1"/>
  <c r="G140" i="8"/>
  <c r="E140" i="8" s="1"/>
  <c r="G223" i="8"/>
  <c r="E223" i="8" s="1"/>
  <c r="G196" i="8"/>
  <c r="E196" i="8" s="1"/>
  <c r="G189" i="8"/>
  <c r="E189" i="8" s="1"/>
  <c r="G181" i="8"/>
  <c r="E181" i="8" s="1"/>
  <c r="G118" i="8"/>
  <c r="E118" i="8" s="1"/>
  <c r="G112" i="8"/>
  <c r="E112" i="8" s="1"/>
  <c r="G100" i="8"/>
  <c r="E100" i="8" s="1"/>
  <c r="G127" i="8"/>
  <c r="E127" i="8" s="1"/>
  <c r="G93" i="8" l="1"/>
  <c r="E93" i="8" s="1"/>
  <c r="G46" i="8"/>
  <c r="E46" i="8" s="1"/>
  <c r="G18" i="8"/>
  <c r="E18" i="8" s="1"/>
  <c r="G13" i="8"/>
  <c r="E13" i="8" s="1"/>
  <c r="G167" i="8"/>
  <c r="E167" i="8" s="1"/>
  <c r="G166" i="8"/>
  <c r="E166" i="8" s="1"/>
  <c r="G214" i="8" l="1"/>
  <c r="E214" i="8" s="1"/>
  <c r="G132" i="8"/>
  <c r="E132" i="8" s="1"/>
  <c r="G139" i="8"/>
  <c r="E139" i="8" s="1"/>
  <c r="G222" i="8"/>
  <c r="E222" i="8" s="1"/>
  <c r="G195" i="8"/>
  <c r="E195" i="8" s="1"/>
  <c r="G188" i="8"/>
  <c r="E188" i="8" s="1"/>
  <c r="G180" i="8"/>
  <c r="E180" i="8" s="1"/>
  <c r="G174" i="8"/>
  <c r="E174" i="8" s="1"/>
  <c r="G117" i="8"/>
  <c r="E117" i="8" s="1"/>
  <c r="G111" i="8"/>
  <c r="E111" i="8" s="1"/>
  <c r="G99" i="8"/>
  <c r="E99" i="8" s="1"/>
  <c r="G126" i="8"/>
  <c r="E126" i="8" s="1"/>
  <c r="G92" i="8"/>
  <c r="E92" i="8" s="1"/>
  <c r="G64" i="8"/>
  <c r="E64" i="8" s="1"/>
  <c r="G51" i="8"/>
  <c r="E51" i="8" s="1"/>
  <c r="G45" i="8" l="1"/>
  <c r="E45" i="8" s="1"/>
  <c r="G26" i="8"/>
  <c r="E26" i="8" s="1"/>
  <c r="G165" i="8"/>
  <c r="E165" i="8" s="1"/>
  <c r="J222" i="8" l="1"/>
  <c r="H222" i="8" s="1"/>
  <c r="J99" i="8"/>
  <c r="H99" i="8" s="1"/>
  <c r="J165" i="8"/>
  <c r="H165" i="8" s="1"/>
  <c r="J188" i="8"/>
  <c r="H188" i="8" s="1"/>
  <c r="J139" i="8"/>
  <c r="H139" i="8" s="1"/>
  <c r="J132" i="8"/>
  <c r="H132" i="8" s="1"/>
  <c r="J45" i="8"/>
  <c r="H45" i="8" s="1"/>
  <c r="J92" i="8"/>
  <c r="H92" i="8" s="1"/>
  <c r="J126" i="8"/>
  <c r="H126" i="8" s="1"/>
  <c r="J214" i="8"/>
  <c r="H214" i="8" s="1"/>
  <c r="J180" i="8" l="1"/>
  <c r="H180" i="8" s="1"/>
  <c r="J181" i="8"/>
  <c r="H181" i="8" s="1"/>
  <c r="J117" i="8"/>
  <c r="H117" i="8" s="1"/>
  <c r="J195" i="8"/>
  <c r="H195" i="8" s="1"/>
  <c r="J111" i="8"/>
  <c r="H111" i="8" s="1"/>
  <c r="J150" i="8"/>
  <c r="H150" i="8" s="1"/>
  <c r="J149" i="8"/>
  <c r="H149" i="8" s="1"/>
  <c r="J31" i="8"/>
  <c r="H31" i="8" s="1"/>
  <c r="J106" i="8"/>
  <c r="H106" i="8" s="1"/>
  <c r="J20" i="8"/>
  <c r="H20" i="8" s="1"/>
  <c r="J209" i="8"/>
  <c r="H209" i="8" s="1"/>
  <c r="J204" i="8"/>
  <c r="H204" i="8" s="1"/>
  <c r="J203" i="8"/>
  <c r="H203" i="8" s="1"/>
  <c r="J205" i="8"/>
  <c r="H205" i="8" s="1"/>
  <c r="E159" i="8"/>
  <c r="G159" i="8"/>
  <c r="H159" i="8"/>
  <c r="J159" i="8"/>
  <c r="G32" i="8"/>
  <c r="E32" i="8" s="1"/>
  <c r="G105" i="8"/>
  <c r="E105" i="8" s="1"/>
  <c r="G200" i="8"/>
  <c r="E200" i="8" s="1"/>
  <c r="G149" i="8"/>
  <c r="E149" i="8" s="1"/>
  <c r="G104" i="8" l="1"/>
  <c r="E104" i="8" s="1"/>
  <c r="G103" i="8"/>
  <c r="E103" i="8" s="1"/>
  <c r="G217" i="8"/>
  <c r="E217" i="8" s="1"/>
  <c r="G216" i="8"/>
  <c r="E216" i="8" s="1"/>
  <c r="J189" i="8" l="1"/>
  <c r="H189" i="8" s="1"/>
  <c r="J215" i="8"/>
  <c r="H215" i="8" s="1"/>
  <c r="J223" i="8"/>
  <c r="H223" i="8" s="1"/>
  <c r="J100" i="8"/>
  <c r="H100" i="8" s="1"/>
  <c r="J166" i="8"/>
  <c r="H166" i="8" s="1"/>
  <c r="J133" i="8" l="1"/>
  <c r="H133" i="8" s="1"/>
  <c r="J140" i="8"/>
  <c r="H140" i="8" s="1"/>
  <c r="J196" i="8"/>
  <c r="H196" i="8" s="1"/>
  <c r="J118" i="8"/>
  <c r="H118" i="8" s="1"/>
  <c r="H112" i="8"/>
  <c r="J46" i="8"/>
  <c r="H46" i="8" s="1"/>
  <c r="J18" i="8"/>
  <c r="H18" i="8" s="1"/>
  <c r="J13" i="8"/>
  <c r="J87" i="8"/>
  <c r="H87" i="8" s="1"/>
  <c r="J83" i="8"/>
  <c r="H206" i="8"/>
  <c r="J148" i="8"/>
  <c r="H148" i="8" s="1"/>
  <c r="J147" i="8"/>
  <c r="H147" i="8" s="1"/>
  <c r="H146" i="8"/>
  <c r="G36" i="8"/>
  <c r="E36" i="8" s="1"/>
  <c r="G35" i="8"/>
  <c r="E35" i="8" s="1"/>
  <c r="G169" i="8"/>
  <c r="E169" i="8" s="1"/>
  <c r="G208" i="8"/>
  <c r="E208" i="8" s="1"/>
  <c r="G199" i="8"/>
  <c r="E199" i="8" s="1"/>
  <c r="G198" i="8"/>
  <c r="E198" i="8" s="1"/>
  <c r="G147" i="8"/>
  <c r="E147" i="8" s="1"/>
  <c r="G183" i="8"/>
  <c r="E183" i="8" s="1"/>
  <c r="G182" i="8"/>
  <c r="E182" i="8" s="1"/>
  <c r="H13" i="8" l="1"/>
  <c r="H83" i="8"/>
  <c r="G27" i="8"/>
  <c r="E27" i="8" s="1"/>
  <c r="G28" i="8"/>
  <c r="E28" i="8" s="1"/>
  <c r="G19" i="8"/>
  <c r="E19" i="8" s="1"/>
  <c r="D207" i="8" l="1"/>
  <c r="D168" i="8"/>
  <c r="D134" i="8"/>
  <c r="D86" i="8"/>
  <c r="D83" i="8"/>
  <c r="D85" i="8" l="1"/>
  <c r="D82" i="8"/>
  <c r="D75" i="8"/>
  <c r="D73" i="8"/>
  <c r="D34" i="8"/>
  <c r="D9" i="7" l="1"/>
  <c r="G193" i="8" l="1"/>
  <c r="G212" i="8" l="1"/>
  <c r="H212" i="8"/>
  <c r="J157" i="8"/>
  <c r="H157" i="8" s="1"/>
  <c r="G157" i="8"/>
  <c r="E157" i="8" s="1"/>
  <c r="J94" i="8"/>
  <c r="H94" i="8" s="1"/>
  <c r="J163" i="8"/>
  <c r="G163" i="8"/>
  <c r="E163" i="8" s="1"/>
  <c r="J144" i="8"/>
  <c r="H144" i="8" s="1"/>
  <c r="J145" i="8"/>
  <c r="H145" i="8" s="1"/>
  <c r="G190" i="8"/>
  <c r="E190" i="8" s="1"/>
  <c r="H163" i="8" l="1"/>
  <c r="G207" i="8"/>
  <c r="G34" i="8"/>
  <c r="E34" i="8" s="1"/>
  <c r="G146" i="8"/>
  <c r="E146" i="8" s="1"/>
  <c r="E207" i="8" l="1"/>
  <c r="J207" i="8"/>
  <c r="J211" i="8"/>
  <c r="H211" i="8" s="1"/>
  <c r="E212" i="8"/>
  <c r="E211" i="8"/>
  <c r="G162" i="8"/>
  <c r="E162" i="8" s="1"/>
  <c r="J162" i="8"/>
  <c r="H162" i="8" s="1"/>
  <c r="G135" i="8" l="1"/>
  <c r="H10" i="7"/>
  <c r="J210" i="8"/>
  <c r="H210" i="8" s="1"/>
  <c r="G210" i="8"/>
  <c r="E210" i="8" s="1"/>
  <c r="J161" i="8"/>
  <c r="H161" i="8" s="1"/>
  <c r="E161" i="8" l="1"/>
  <c r="G153" i="8"/>
  <c r="E153" i="8" s="1"/>
  <c r="G9" i="7" l="1"/>
  <c r="E9" i="7" s="1"/>
  <c r="J199" i="8" l="1"/>
  <c r="J198" i="8"/>
  <c r="H198" i="8" s="1"/>
  <c r="H207" i="8"/>
  <c r="J143" i="8"/>
  <c r="H143" i="8" s="1"/>
  <c r="J34" i="8"/>
  <c r="H34" i="8" s="1"/>
  <c r="J142" i="8"/>
  <c r="H142" i="8" s="1"/>
  <c r="J86" i="8"/>
  <c r="J156" i="8"/>
  <c r="H156" i="8" s="1"/>
  <c r="E156" i="8"/>
  <c r="J160" i="8"/>
  <c r="H160" i="8"/>
  <c r="G86" i="8"/>
  <c r="E86" i="8" s="1"/>
  <c r="G145" i="8"/>
  <c r="E145" i="8" s="1"/>
  <c r="G144" i="8"/>
  <c r="E144" i="8" s="1"/>
  <c r="G143" i="8"/>
  <c r="E143" i="8" s="1"/>
  <c r="H86" i="8" l="1"/>
  <c r="H199" i="8"/>
  <c r="G152" i="8"/>
  <c r="E152" i="8" s="1"/>
  <c r="G142" i="8"/>
  <c r="E142" i="8" s="1"/>
  <c r="J141" i="8"/>
  <c r="H141" i="8" s="1"/>
  <c r="G141" i="8"/>
  <c r="E141" i="8" s="1"/>
  <c r="G74" i="8"/>
  <c r="E74" i="8" l="1"/>
  <c r="G83" i="8"/>
  <c r="E83" i="8" s="1"/>
  <c r="J197" i="8" l="1"/>
  <c r="H197" i="8" s="1"/>
  <c r="J155" i="8"/>
  <c r="J224" i="8" s="1"/>
  <c r="G155" i="8"/>
  <c r="E155" i="8" s="1"/>
  <c r="H155" i="8" l="1"/>
  <c r="G134" i="8"/>
  <c r="E134" i="8" s="1"/>
  <c r="G85" i="8"/>
  <c r="E85" i="8" s="1"/>
  <c r="G82" i="8"/>
  <c r="E82" i="8" l="1"/>
  <c r="G168" i="8"/>
  <c r="E168" i="8" s="1"/>
  <c r="G75" i="8"/>
  <c r="E75" i="8" s="1"/>
  <c r="G197" i="8"/>
  <c r="E197" i="8" s="1"/>
  <c r="G73" i="8"/>
  <c r="G224" i="8" l="1"/>
  <c r="E73" i="8"/>
  <c r="G76" i="8"/>
  <c r="J33" i="8"/>
  <c r="H33" i="8" s="1"/>
  <c r="G225" i="8" l="1"/>
  <c r="J27" i="8"/>
  <c r="J76" i="8" s="1"/>
  <c r="H219" i="8"/>
  <c r="H218" i="8"/>
  <c r="H193" i="8"/>
  <c r="H192" i="8"/>
  <c r="H191" i="8"/>
  <c r="H186" i="8"/>
  <c r="H185" i="8"/>
  <c r="H184" i="8"/>
  <c r="H178" i="8"/>
  <c r="H177" i="8"/>
  <c r="H176" i="8"/>
  <c r="H172" i="8"/>
  <c r="H171" i="8"/>
  <c r="H170" i="8"/>
  <c r="H137" i="8"/>
  <c r="H136" i="8"/>
  <c r="H135" i="8"/>
  <c r="H130" i="8"/>
  <c r="H129" i="8"/>
  <c r="H128" i="8"/>
  <c r="H124" i="8"/>
  <c r="H123" i="8"/>
  <c r="H122" i="8"/>
  <c r="H115" i="8"/>
  <c r="H114" i="8"/>
  <c r="H113" i="8"/>
  <c r="H109" i="8"/>
  <c r="H108" i="8"/>
  <c r="H107" i="8"/>
  <c r="H97" i="8"/>
  <c r="H96" i="8"/>
  <c r="H95" i="8"/>
  <c r="H90" i="8"/>
  <c r="H89" i="8"/>
  <c r="H88" i="8"/>
  <c r="H80" i="8"/>
  <c r="H79" i="8"/>
  <c r="H78" i="8"/>
  <c r="H71" i="8"/>
  <c r="H70" i="8"/>
  <c r="H69" i="8"/>
  <c r="H67" i="8"/>
  <c r="H66" i="8"/>
  <c r="H65" i="8"/>
  <c r="H61" i="8"/>
  <c r="H60" i="8"/>
  <c r="H58" i="8"/>
  <c r="H57" i="8"/>
  <c r="H56" i="8"/>
  <c r="H54" i="8"/>
  <c r="H53" i="8"/>
  <c r="H52" i="8"/>
  <c r="H49" i="8"/>
  <c r="H48" i="8"/>
  <c r="H47" i="8"/>
  <c r="H43" i="8"/>
  <c r="H42" i="8"/>
  <c r="H41" i="8"/>
  <c r="H39" i="8"/>
  <c r="E220" i="8"/>
  <c r="E219" i="8"/>
  <c r="E218" i="8"/>
  <c r="E193" i="8"/>
  <c r="E192" i="8"/>
  <c r="E191" i="8"/>
  <c r="E186" i="8"/>
  <c r="E185" i="8"/>
  <c r="E184" i="8"/>
  <c r="E178" i="8"/>
  <c r="E177" i="8"/>
  <c r="E176" i="8"/>
  <c r="E172" i="8"/>
  <c r="E171" i="8"/>
  <c r="E170" i="8"/>
  <c r="E137" i="8"/>
  <c r="E136" i="8"/>
  <c r="E135" i="8"/>
  <c r="E130" i="8"/>
  <c r="E129" i="8"/>
  <c r="E128" i="8"/>
  <c r="E124" i="8"/>
  <c r="E123" i="8"/>
  <c r="E122" i="8"/>
  <c r="E121" i="8"/>
  <c r="E115" i="8"/>
  <c r="E114" i="8"/>
  <c r="E113" i="8"/>
  <c r="E109" i="8"/>
  <c r="E108" i="8"/>
  <c r="E107" i="8"/>
  <c r="E97" i="8"/>
  <c r="E96" i="8"/>
  <c r="E95" i="8"/>
  <c r="E90" i="8"/>
  <c r="E89" i="8"/>
  <c r="E88" i="8"/>
  <c r="E80" i="8"/>
  <c r="E79" i="8"/>
  <c r="E78" i="8"/>
  <c r="E71" i="8"/>
  <c r="E70" i="8"/>
  <c r="E69" i="8"/>
  <c r="E67" i="8"/>
  <c r="E66" i="8"/>
  <c r="E65" i="8"/>
  <c r="E62" i="8"/>
  <c r="E61" i="8"/>
  <c r="E60" i="8"/>
  <c r="E58" i="8"/>
  <c r="E57" i="8"/>
  <c r="E56" i="8"/>
  <c r="E54" i="8"/>
  <c r="E53" i="8"/>
  <c r="E52" i="8"/>
  <c r="E49" i="8"/>
  <c r="E48" i="8"/>
  <c r="E47" i="8"/>
  <c r="E43" i="8"/>
  <c r="E42" i="8"/>
  <c r="E41" i="8"/>
  <c r="E40" i="8"/>
  <c r="E39" i="8"/>
  <c r="H24" i="8"/>
  <c r="H23" i="8"/>
  <c r="H22" i="8"/>
  <c r="H16" i="8"/>
  <c r="H15" i="8"/>
  <c r="H14" i="8"/>
  <c r="H11" i="8"/>
  <c r="H10" i="8"/>
  <c r="H9" i="8"/>
  <c r="E10" i="8"/>
  <c r="E11" i="8"/>
  <c r="E14" i="8"/>
  <c r="E15" i="8"/>
  <c r="E16" i="8"/>
  <c r="E22" i="8"/>
  <c r="E23" i="8"/>
  <c r="E24" i="8"/>
  <c r="E9" i="8"/>
  <c r="E76" i="8" l="1"/>
  <c r="E224" i="8"/>
  <c r="H224" i="8"/>
  <c r="H27" i="8"/>
  <c r="H76" i="8" s="1"/>
  <c r="J225" i="8" l="1"/>
  <c r="J10" i="7"/>
  <c r="J15" i="7"/>
  <c r="G15" i="7" l="1"/>
  <c r="G10" i="7"/>
  <c r="H225" i="8" l="1"/>
  <c r="E10" i="7" l="1"/>
  <c r="E15" i="7" l="1"/>
  <c r="G17" i="7"/>
  <c r="J12" i="7"/>
  <c r="H15" i="7"/>
  <c r="E17" i="7" l="1"/>
  <c r="H12" i="7"/>
  <c r="E12" i="7"/>
  <c r="G12" i="7"/>
  <c r="J18" i="7"/>
  <c r="G18" i="7" l="1"/>
  <c r="E18" i="7"/>
  <c r="H17" i="7" l="1"/>
  <c r="H18" i="7" l="1"/>
</calcChain>
</file>

<file path=xl/sharedStrings.xml><?xml version="1.0" encoding="utf-8"?>
<sst xmlns="http://schemas.openxmlformats.org/spreadsheetml/2006/main" count="420" uniqueCount="234">
  <si>
    <t>ОТЧЕТ</t>
  </si>
  <si>
    <t>Наименование целевого показателя и мероприятий</t>
  </si>
  <si>
    <t>Подрядчик</t>
  </si>
  <si>
    <t>Стоимость мероприятий по договору, тыс. руб., (с НДС)</t>
  </si>
  <si>
    <t>Фактическое финансирование тыс. руб., (с НДС)</t>
  </si>
  <si>
    <t>Платежное поручение</t>
  </si>
  <si>
    <t>Фактическое выполнение, тыс. руб., (с НДС)</t>
  </si>
  <si>
    <t>Обоснование</t>
  </si>
  <si>
    <t>Наименование</t>
  </si>
  <si>
    <t>№ и дата договора</t>
  </si>
  <si>
    <t>№, дата</t>
  </si>
  <si>
    <t>сумма, тыс. руб.</t>
  </si>
  <si>
    <t>ВОДОСНАБЖЕНИЕ</t>
  </si>
  <si>
    <t>Всего по ВОДОСНАБЖЕНИЮ</t>
  </si>
  <si>
    <t>Расходы заказчика-застройщика по водоснабжению</t>
  </si>
  <si>
    <t>ИТОГО по ВОДОСНАБЖЕНИЮ, в т.ч. Расходы заказчика-застройщика</t>
  </si>
  <si>
    <t>ВОДООТВЕДЕНИЕ</t>
  </si>
  <si>
    <t>ИТОГО по ВОДООТВЕДЕНИЮ</t>
  </si>
  <si>
    <t>Расходы заказчика-застройщика по водоотведению</t>
  </si>
  <si>
    <t>ИТОГО по ВОДООТВЕДЕНИЮ, в т.ч. Расходы заказчика-застройщика</t>
  </si>
  <si>
    <t>ВСЕГО по ВОДОСНАБЖЕНИЮ и ВОДООТВЕДЕНИЮ, в т.ч. Расходы заказчика-застройщика</t>
  </si>
  <si>
    <t xml:space="preserve">Финансовый директор </t>
  </si>
  <si>
    <t>Е.С. Александрова</t>
  </si>
  <si>
    <t>С.В. Туршатова</t>
  </si>
  <si>
    <t xml:space="preserve">Строительство ВПС-21. (Переоценка запасов подземных вод, ПИР.) </t>
  </si>
  <si>
    <t>о ходе исполнения инвестиционной программы «Реконструкция (модернизация) систем водоснабжения и водоотведения на территории  городского округа город Воронеж на 2012 – 2018 годы (в рамках реализации Концессионного соглашения от 23.03.2012 г)» ООО "РВК-Воронеж"</t>
  </si>
  <si>
    <t>ВСЕГО по ВОДОСНАБЖЕНИЮ и ВОДООТВЕДЕНИЮ</t>
  </si>
  <si>
    <t>ПИР и СМР. Реконструкция Главного Левобережного коллектора от КК-1 до К-11 Д=2000 мм протяженностью L=1300 м (инв.№ 30014578)</t>
  </si>
  <si>
    <t>Заработная плата (январь)</t>
  </si>
  <si>
    <t xml:space="preserve">ПИР.СМР.Реконструкция первичного отстойника №  5 (система водосливов) </t>
  </si>
  <si>
    <t>ПИР.СМР.Реконструкция вторичного отстойника №  3 (система илоскребов)</t>
  </si>
  <si>
    <t>ПИР и СМР. Реконструкция водовода д=500 мм по ул. Красный октябрь  L=300 п.м</t>
  </si>
  <si>
    <t xml:space="preserve"> Создание систем охраны периметра  ВПС-3а, ВПС-4, ВПС-6, ВПС-9.</t>
  </si>
  <si>
    <t>Заработная плата (февраль)</t>
  </si>
  <si>
    <t>Заработная плата (март)</t>
  </si>
  <si>
    <t>ПИР, СМР. Реконструкция системы водоотведения мкр. Тепличный со строительством КНС:Строительство 2-х напорных ниток к/сетей L=60 п.м.Строительство самотечной линии Д=500 м.м. L=25 п.м.Строительство КНС мощностью 3000 м3/сутки</t>
  </si>
  <si>
    <t>ПИР и СМР Реконструкция канализационных сетей жилой зоны городского микрорайона Никольское.</t>
  </si>
  <si>
    <t xml:space="preserve">ПИР и СМР Реконструкция канализационной линии по Ленинскому проспекту 8/1, Д= 300 мм протяженностью L=190 м </t>
  </si>
  <si>
    <t>о ходе исполнения инвестиционной программы "Реконструкция (модернизация) систем водоснабжения и водоотведения на территории  городского округа город Воронеж на 2019-2024 годы" ООО "РВК-Воронеж"</t>
  </si>
  <si>
    <t>ООО "СтройПолимерМонтаж"</t>
  </si>
  <si>
    <t>Д.ДВК.ВЖВК.ДКС-31052019-0003, доп. соглашение Д.ДВК.ВЖКВ.ДКС-31052019-0003ДС-0001 от 24.062019</t>
  </si>
  <si>
    <t>Д.ДВК.ВЖВК.ДКС.ОПР-25062019-0003 от 25.06.2019</t>
  </si>
  <si>
    <t>Начальник ОПиРИП</t>
  </si>
  <si>
    <t xml:space="preserve"> ООО ЭНЕРГОИМПУЛЬС</t>
  </si>
  <si>
    <t xml:space="preserve">ООО ТЕХНОЛОГИИ 21 ВЕК </t>
  </si>
  <si>
    <t>№Д.ДВК.ВЖВК.ДКС.ОКС-12112019-0001 от 12.11.2019</t>
  </si>
  <si>
    <t xml:space="preserve"> ООО ТЕХНОЛОГИИ 21 ВЕК</t>
  </si>
  <si>
    <t>Д.ДВК.ВЖВК.ДКС-18112019-0001 от 18.11.2019</t>
  </si>
  <si>
    <t>ПИР, СМР. Реконструкция канализационного коллектора L=2452 м.п.  Д=800-1000мм на Д=1000мм по ул.Землячки 9-11, по ул.Витрука, вдоль Ленинского пр-та  до ул. 25 Января 72 (инв.№ 30012510)</t>
  </si>
  <si>
    <t>ПИР и СМР. СПИВ на ВПС-8 с двухсекционным резервуаром-отстойником и встроенным машинным залом, 3-мя площадками подсушивания осадка, системой самотечных и напорных сетей, КНС перекачки технологических и хоз-бытовых стоков в городскую канализацию, внеплощадочной напорной канализацией.</t>
  </si>
  <si>
    <t>ПИР и СМР. СПИВ на ВПС-12  с двухсекционным резервуаром-отстойником и встроенным машинным залом, 3-мя площадками подсушивания осадка, системой самотечных и напорных сетей, КНС перекачки технологических и хоз-бытовых стоков в городскую канализацию, внеплощадочной напорной канализацией.</t>
  </si>
  <si>
    <t xml:space="preserve">Комплекс мероприятий по обеспечению инженерной инфраструктуры для ВПС-21 </t>
  </si>
  <si>
    <t>ПИР и СМР. Вынос водоводов д=600мм и д=1000мм из под насыпи (существующая глубина заложения до 10м) на участке от ПС-14 до БСМП протяженность 1000 пм ПИР и СМР (инв. номер 30008483).</t>
  </si>
  <si>
    <t>ПИР, СМР. Реконструкция напорного водовода Ø1000мм. от ВПС-11/2 до ВПС-11/3 срок реализации 2020-2023гг. Инвентарный номер 30000271 (правая ветка)</t>
  </si>
  <si>
    <t>ПИР. Строительство двух водопроводных линий Д = 400 мм  по ул. Изыскателей до точек врезки в водовод Д1000 мм в районе ул. Куйбышева L≈1300 м.п., каждая.</t>
  </si>
  <si>
    <t>СМР. Реконструкция ВПС-11/2. Комплекс работ по техническому перевооружению оборудования машинных залов. Строительство ОРУ-35 кВ  (инв. №10000220)</t>
  </si>
  <si>
    <t>СМР. Реконструкция  ВПС-6. Комплекс работ по техническому перевооружению оборудования машинных залов. (инв. №100000077)</t>
  </si>
  <si>
    <t xml:space="preserve">ПИР,СМР. Реконструкция  ПС-5. </t>
  </si>
  <si>
    <t>СМР. Реконструкция  ВПС-3а. Комплекс работ по техническому перевооружению оборудования машинных залов. (инв. №10000071)</t>
  </si>
  <si>
    <t>Автоматизация ПНС, установка расходомеров для организации учета расходов воды по зонам</t>
  </si>
  <si>
    <t xml:space="preserve">ПИР и СМР. Строительство сооружений доочистки с внедрением реагентного удаления фосфатов и механического удаления примесей на ПОС </t>
  </si>
  <si>
    <t>ПИР и СМР Реконструкция канализационной линии по ул. Дорожная
 Д= 800/1000 мм протяженностью L= 2092 м (инв.№ 3000577)</t>
  </si>
  <si>
    <t>ПИР и СМР Реконструкция канализационной линии по ул. Геофизическая (ул. Мазлумова) до КНС-20, Д= 900 мм протяженностью L= 1602 м (инв.№ 3000577)</t>
  </si>
  <si>
    <t>ПИР и СМР. Монтаж закрытых ж/б монолитных коллекторов выпуска очищенной сточной воды протяженностью L≈3120 м с шириной сечения 2000 мм в две ветки на ПОС. Предусмотреть не затопляемый береговой выпуск.</t>
  </si>
  <si>
    <t>ПИР и СМР Реконструкция канализационных сетей жилой зоны ул. Чебышева с переключением многоквартирных домов на вновь построенный канализационный коллектор по ул. Дубровина.</t>
  </si>
  <si>
    <t>ПИР и СМР. Реконструкция коллектора Д1200 L-5800м.п. от ГКНС до ЛОС.</t>
  </si>
  <si>
    <t>ПИР, СМР. Реконструкция системы водоотведения квартала ограниченного улицами Красный Октябрь - пер. Отличников – Иркутская – Циолковского со строительством 2х КНС, самотечных и напорных канализационных линий.</t>
  </si>
  <si>
    <t>ПИР и СМР. Реконструкция ГКНС (инв. №10000470)  с заменой оборудования и автоматизацией</t>
  </si>
  <si>
    <t xml:space="preserve">ПИР и СМР. Строительство новой ГКНС </t>
  </si>
  <si>
    <t>ПИР. Строительство напорных канализационных линий Д=500 мм  L≈7000 м.п. каждая, по ул. Изыскателей, Беломорская, Калининградская, Планетная, Богатырская до разгрузочной камеры на канализационном коллекторе Д –1000 мм по ул. Землячки</t>
  </si>
  <si>
    <t>__</t>
  </si>
  <si>
    <t>Давальческий материал (январь)</t>
  </si>
  <si>
    <t>ООО "ТВ-Сервис"</t>
  </si>
  <si>
    <t>Д.ДВК.ВЖВК.ДКС-05092019-0003 05.09.2019</t>
  </si>
  <si>
    <t>№1110 от 20.01.2020</t>
  </si>
  <si>
    <t>№1204 от 24.01.2020</t>
  </si>
  <si>
    <t>ООО СВЯЗЬИНФОРМ</t>
  </si>
  <si>
    <t>Д.ДВК.ВЖВК.ДКС-05092019-0004</t>
  </si>
  <si>
    <t>№1213 от 27.01.2020</t>
  </si>
  <si>
    <t>№1262 от 29.01.2020</t>
  </si>
  <si>
    <t>ООО РВК.ЭКОСЕРВИС</t>
  </si>
  <si>
    <t>Д.ДВК.ВЖВК.ДКС-02072019-0002</t>
  </si>
  <si>
    <t>№1264 от 29.01.2020</t>
  </si>
  <si>
    <t>№1263 от 29.01.2020</t>
  </si>
  <si>
    <t>ООО ИНСЕРВИС</t>
  </si>
  <si>
    <t>Д.ДВК.ВЖВК.ДКС.ОПР-02072019-0007</t>
  </si>
  <si>
    <t>№1265 от 29.01.2020</t>
  </si>
  <si>
    <t>Капитализация процентов январь</t>
  </si>
  <si>
    <t>ООО СК РЕАЛ</t>
  </si>
  <si>
    <t xml:space="preserve">Д.ДВК.ВЖВК.ДКС-12112019-0002 от 12.11.2019 </t>
  </si>
  <si>
    <t>№1384 от 03.02.2020</t>
  </si>
  <si>
    <t>ООО ПРОЕКТИНЖИНИРИНГ</t>
  </si>
  <si>
    <t>Д.ДВК.ВЖВК.ДКС.ОПР-08072019-0007</t>
  </si>
  <si>
    <t>№1386 от 03.02.2020</t>
  </si>
  <si>
    <t>№3782 от 17.02.2020</t>
  </si>
  <si>
    <t>№3758 от 17.02.2020</t>
  </si>
  <si>
    <t>№3747 от 17.02.2020</t>
  </si>
  <si>
    <t>Лимкор ООО</t>
  </si>
  <si>
    <t>Д.ДВК.ВЖВК.ОУСС-30092019-0001 от 30.09.2019</t>
  </si>
  <si>
    <t>№3748 от 17.02.2020</t>
  </si>
  <si>
    <t>№4529 от 28.02.2020</t>
  </si>
  <si>
    <t>№4530 от 28.02.2020</t>
  </si>
  <si>
    <t>№4531 от 28.02.2020</t>
  </si>
  <si>
    <t>№4532 от 28.02.2020</t>
  </si>
  <si>
    <t>Давальческий материал (февраль)</t>
  </si>
  <si>
    <t>Капитализация процентов февраль</t>
  </si>
  <si>
    <t>ПИР и СМР. Реконструкция участка сборного водовода Д=1000мм. на ВПС-8 от скв.№№1;1а в сторону камеры переключений L-80п.м. с заменой секционной запорной арматуры: Д=800мм.-2ед.; Д=600мм.-1ед. (инв. номер 3. 30005457).</t>
  </si>
  <si>
    <t>ОАО "ВОРОНЕЖПРОЕКТ"</t>
  </si>
  <si>
    <t>№Д.ДВК.ВЖВК.ДКС.ОПР-19112019-0005</t>
  </si>
  <si>
    <t>ООО «СЭНТО»</t>
  </si>
  <si>
    <t xml:space="preserve">Дополнит.соглашение №1 от 28.02.2020г.Д.ДВК.ВЖВК.ДКС.ОПР-23072019-0002 7/23/2019 </t>
  </si>
  <si>
    <t>ООО УК "РОСВОДОКАНАЛ"</t>
  </si>
  <si>
    <t>№130/19 от 07.03.2019</t>
  </si>
  <si>
    <t>№5640 от 16.03.2020</t>
  </si>
  <si>
    <t>№5730 от 20.03.2020</t>
  </si>
  <si>
    <t>№5639 от 16.03.2020</t>
  </si>
  <si>
    <t>ПАО "МРСК ЦЕНТРА"</t>
  </si>
  <si>
    <t>№6180 от 27.03.2020</t>
  </si>
  <si>
    <t>Капитализация процентов март</t>
  </si>
  <si>
    <t>Работы/мероприятия  по  отладке/переустройству оборудования ОСК с целью повышения показателей энергоэффективности объектов централизованных систем  водоотведения.</t>
  </si>
  <si>
    <t>АО "МАЙ ПРОЕКТ"</t>
  </si>
  <si>
    <r>
      <t xml:space="preserve">КС-2, КС-3 </t>
    </r>
    <r>
      <rPr>
        <sz val="11"/>
        <color theme="1"/>
        <rFont val="Arial"/>
        <family val="2"/>
        <charset val="204"/>
      </rPr>
      <t>№2 от 30.01.2020</t>
    </r>
  </si>
  <si>
    <t>КС-2, КС-3 №28 от 28.01.2020</t>
  </si>
  <si>
    <t>КС-2, КС-3 №3 от 30.01.2020</t>
  </si>
  <si>
    <t>КС-2, КС-3 №3 от 10.02.2020</t>
  </si>
  <si>
    <t>КС-2, КС-3 №29 от 17.02.2020</t>
  </si>
  <si>
    <t>Акт №4а от 20.01.2020</t>
  </si>
  <si>
    <t>КС-2, КС-3 №30 от 28.02.2020</t>
  </si>
  <si>
    <t xml:space="preserve">Д.ДВК.ВЖВК,ДПП-06082019-001 </t>
  </si>
  <si>
    <t>КС-2, КС-3 №31 от 18.03.2020</t>
  </si>
  <si>
    <t>Корректировочные КС-2, КС-3 №32 от 26.03.2020</t>
  </si>
  <si>
    <t>Акт о приемке-передаче №1 от 20.03.2020</t>
  </si>
  <si>
    <t>Акт сдачи-приемки вып. работ от 28.02.2020</t>
  </si>
  <si>
    <t>КС-2, КС-3 №4 от 18.02.2020</t>
  </si>
  <si>
    <t>КС-2, КС-3 №5 от 18.02.2020</t>
  </si>
  <si>
    <t>№4520 от 27.02.2020</t>
  </si>
  <si>
    <t>Выполнение комплекса работ для организации добычи подземных вод на ВЗУ-I Южно-Воронежского месторождения подземных вод (ВПС-21) в составе: проект разработки месторождения, включая программу мониторинга подземных вод и проект ЗСО.</t>
  </si>
  <si>
    <t>1 полугодие   2020 г.</t>
  </si>
  <si>
    <t xml:space="preserve">№8228 от 04.06.2020 </t>
  </si>
  <si>
    <t>№8229 от 04.06.2020</t>
  </si>
  <si>
    <t>ПРОЕКТИНЖИНИРИНГ ООО</t>
  </si>
  <si>
    <t>Д.ТД.ВЖВК.ДКС-12032020-0007 от 12.03.2020</t>
  </si>
  <si>
    <t>№8514 от 11.06.2020</t>
  </si>
  <si>
    <t>№8515 от 11.06.2020</t>
  </si>
  <si>
    <t>8516 от 11.06.2020</t>
  </si>
  <si>
    <t>№9010 от 30.06.2020</t>
  </si>
  <si>
    <t>№9011 от 30.06.2020</t>
  </si>
  <si>
    <t>ООО "ПОЛИПЛАСТИК Поволжье"</t>
  </si>
  <si>
    <t>Д.ТД.ВЖВК.ОУСС-28022020-0001 от 28.02.2020г</t>
  </si>
  <si>
    <t xml:space="preserve">№9014 от 30.06.2020 </t>
  </si>
  <si>
    <t>Д.ТД.ВЖВК.ОУСС-25022020-0002 от 25.02.2020г</t>
  </si>
  <si>
    <t>№9013 от 30.06.2020  часть</t>
  </si>
  <si>
    <t>№9013 от 30.06.2020 часть</t>
  </si>
  <si>
    <t>Д.ТД.ВЖВК.ОУСС-25022020-0002 от 25.02.2020</t>
  </si>
  <si>
    <t>№8822 от 22.06.2020</t>
  </si>
  <si>
    <t>Заработная плата (июнь)</t>
  </si>
  <si>
    <t xml:space="preserve">ОАО  "РЖД" </t>
  </si>
  <si>
    <t>№7919 от 20.05.2020</t>
  </si>
  <si>
    <t>№7920 от 20.05.2020</t>
  </si>
  <si>
    <t>№7929 от 20.05.2020</t>
  </si>
  <si>
    <t>№7934 от 20.05.2020</t>
  </si>
  <si>
    <t xml:space="preserve">Разработка рабочей документации и экспертиза ПИР ВПС-21 </t>
  </si>
  <si>
    <t>ООО "ИНЖЕНЕРНАЯ ГЕОДЕЗИЯ И ТОПОГРАФИЯ"</t>
  </si>
  <si>
    <t xml:space="preserve">Д.НД.ВЖВК.ДКС-17042020-0003 от 17.04.2020  </t>
  </si>
  <si>
    <t>№8096 от 29.05.2020</t>
  </si>
  <si>
    <t xml:space="preserve">№8150 от 29.05.2020 </t>
  </si>
  <si>
    <t>№8153 от 29.05.2020</t>
  </si>
  <si>
    <t>ТРАНСКОМДОН ООО</t>
  </si>
  <si>
    <t>Д.НД.ВЖВК.ДКС.ОПР-20042020-0002 от 20.04.2020</t>
  </si>
  <si>
    <t xml:space="preserve">№8152 от 29.05.2020 </t>
  </si>
  <si>
    <t>№7964 от 22.05.2020</t>
  </si>
  <si>
    <t>Капитализация процентов май</t>
  </si>
  <si>
    <t>-</t>
  </si>
  <si>
    <t>РУБИН - 7 ПАГК</t>
  </si>
  <si>
    <t>Д.ДВК.ВЖВК.ТД.ОГЭ-02102019-0001</t>
  </si>
  <si>
    <t>без НДС</t>
  </si>
  <si>
    <t>без ндс</t>
  </si>
  <si>
    <t>ЗАО "ВПЖТ"</t>
  </si>
  <si>
    <t>Заработная плата (май)</t>
  </si>
  <si>
    <r>
      <t xml:space="preserve">ПИР.СМР. Установка приборов учета качества сточных вод </t>
    </r>
    <r>
      <rPr>
        <b/>
        <sz val="11"/>
        <rFont val="Arial"/>
        <family val="2"/>
        <charset val="204"/>
      </rPr>
      <t>Правый берег</t>
    </r>
  </si>
  <si>
    <r>
      <t xml:space="preserve">ПИР.СМР. Установка приборов учета качества сточных вод </t>
    </r>
    <r>
      <rPr>
        <b/>
        <sz val="11"/>
        <rFont val="Arial"/>
        <family val="2"/>
        <charset val="204"/>
      </rPr>
      <t>Левый берег</t>
    </r>
  </si>
  <si>
    <t>КС-2, КС-3 №4 от 30.06.2020</t>
  </si>
  <si>
    <t>КС-2, КС-3 №3 от 30.06.2020</t>
  </si>
  <si>
    <t>КС-2, КС-3 №34 от 20.05.2020</t>
  </si>
  <si>
    <t>КС-2, КС-3 №35 от 21.05.2020</t>
  </si>
  <si>
    <t>КС-2, КС-3 №36 от 01.06.2020</t>
  </si>
  <si>
    <t>КС-2, КС-3 №37 от 01.06.2020</t>
  </si>
  <si>
    <t>КС-2, КС-3 №38 от 01.06.2020</t>
  </si>
  <si>
    <t>КС-2, КС-3 №10 от 21.05.2020</t>
  </si>
  <si>
    <t>КС-2, КС-3 №9 от 21.05.2020</t>
  </si>
  <si>
    <t>КС-2, КС-3 №11 от 29.05.2020</t>
  </si>
  <si>
    <t>КС-2, КС-3 №12 от 29.06.2020</t>
  </si>
  <si>
    <t>акт №3 от 30.04.2020</t>
  </si>
  <si>
    <t>акт №72 от 12.05.2020</t>
  </si>
  <si>
    <t>КС-2, КС-3 №6 от 29.05.2020</t>
  </si>
  <si>
    <t>Д.НД.ВЖВК.ДКС.ОПР-22042020-0001 №2 от 22.04.2020</t>
  </si>
  <si>
    <t>акт №2 от 28. 05.2020</t>
  </si>
  <si>
    <t xml:space="preserve">Д.НД.ВЖВК.ДКС.ОПР-30042020-0002 от 30.04.2020 </t>
  </si>
  <si>
    <t>Д.НД.ВЖВК.ДКС.ОКС-06052020-0006 от 06.05.2020</t>
  </si>
  <si>
    <t xml:space="preserve">ПИР, СМР. Строительство водопровода по переключению на централизованную систему водоснабжения потребителей, получающих холодное водоснабжение от локальных источников водоснабжения, принадлежащих АО «РЖД» (п. Первомайский, п. Придонской) </t>
  </si>
  <si>
    <t>ОАО "РЖД"</t>
  </si>
  <si>
    <t>№Д.ДВК.ВЖВК.ДКС.ОПР-27032020-0002 от 27.03.2020</t>
  </si>
  <si>
    <t xml:space="preserve">№6425 от 01.04.2020 </t>
  </si>
  <si>
    <t xml:space="preserve">№6426 от 01.04.2020 </t>
  </si>
  <si>
    <t xml:space="preserve">Д.ДВК.ВЖВК.ДКС.ОПР-27032020-0001 от 27.03.2020 </t>
  </si>
  <si>
    <t>№6429 от 01.04.2020</t>
  </si>
  <si>
    <t>№6430 от 01.04.2020</t>
  </si>
  <si>
    <t>МРСК Центра" (Филиал ПАО "МРСК Центра" - "Воронежэнерго</t>
  </si>
  <si>
    <t>№6828 от 20.04.2020</t>
  </si>
  <si>
    <t>№6947 от 23.04.2020</t>
  </si>
  <si>
    <t>№6985 от 27.04.2020</t>
  </si>
  <si>
    <t>№6986 от 27.04.2020</t>
  </si>
  <si>
    <t>Д.НД.ВЖВК.ДКС.ОПР-20042020-0003 от 20.04.2020</t>
  </si>
  <si>
    <t>№6987 от 27.04.2020</t>
  </si>
  <si>
    <t>№6988 от 27.04.2020</t>
  </si>
  <si>
    <t>Капитализация процентов апрель</t>
  </si>
  <si>
    <t>ОАО ВОРОНЕЖПРОЕКТ</t>
  </si>
  <si>
    <t xml:space="preserve">Д.ДВК.ВЖВК.ДКС.ОПР-15102019-0001 </t>
  </si>
  <si>
    <t>Заработная плата (апрель)</t>
  </si>
  <si>
    <t>Заработная плата апрель)</t>
  </si>
  <si>
    <t>КС-2, КС-3 №3 от 30.04.2020</t>
  </si>
  <si>
    <t>КС-2, КС-3 №5 от 30.04.2020</t>
  </si>
  <si>
    <t>КС-2, КС-3 №4 от 30.04.2020</t>
  </si>
  <si>
    <t>КС-2, КС-3 №33 от 16.04.2020</t>
  </si>
  <si>
    <t>Акт  №19 от 08.04.2020</t>
  </si>
  <si>
    <t>Акт №33 27.04.2020</t>
  </si>
  <si>
    <t>КС-2, КС-3 №8 от 24.04.2020</t>
  </si>
  <si>
    <t>КС-2, КС-3 №7 от 24.04.2020</t>
  </si>
  <si>
    <t>КС-2, КС-3 №6 от 24.04.2020</t>
  </si>
  <si>
    <t>счет-договор от 11.03.2020</t>
  </si>
  <si>
    <t>ГИДЭК ЗАО</t>
  </si>
  <si>
    <t>Д.ДВК.ВЖВК.ДКС.ОПР-31072019-0002  от 31.07.2019</t>
  </si>
  <si>
    <t>№8227 от 04.06.2020</t>
  </si>
  <si>
    <t>1 полугодие 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</si>
</sst>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"/>
    <numFmt numFmtId="165" formatCode="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theme="1"/>
      <name val="Arial Narrow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color theme="1"/>
      <name val="Times New Roman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</font>
    <font>
      <sz val="11"/>
      <color theme="1"/>
      <name val="Arial"/>
      <family val="2"/>
      <charset val="204"/>
    </font>
    <font>
      <sz val="14"/>
      <name val="Arial"/>
      <family val="2"/>
      <charset val="204"/>
    </font>
    <font>
      <sz val="14"/>
      <name val="Calibri"/>
      <family val="2"/>
      <charset val="204"/>
      <scheme val="minor"/>
    </font>
    <font>
      <sz val="14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5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14" fillId="0" borderId="0"/>
    <xf numFmtId="0" fontId="4" fillId="0" borderId="0"/>
    <xf numFmtId="0" fontId="17" fillId="0" borderId="0"/>
    <xf numFmtId="0" fontId="1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</cellStyleXfs>
  <cellXfs count="129">
    <xf numFmtId="0" fontId="0" fillId="0" borderId="0" xfId="0"/>
    <xf numFmtId="0" fontId="5" fillId="0" borderId="0" xfId="1"/>
    <xf numFmtId="0" fontId="7" fillId="0" borderId="0" xfId="1" applyFont="1"/>
    <xf numFmtId="4" fontId="5" fillId="0" borderId="0" xfId="1" applyNumberFormat="1"/>
    <xf numFmtId="0" fontId="5" fillId="0" borderId="0" xfId="1" applyBorder="1"/>
    <xf numFmtId="0" fontId="1" fillId="0" borderId="0" xfId="1" applyFont="1"/>
    <xf numFmtId="0" fontId="5" fillId="3" borderId="0" xfId="1" applyFill="1"/>
    <xf numFmtId="0" fontId="5" fillId="0" borderId="21" xfId="1" applyBorder="1"/>
    <xf numFmtId="0" fontId="7" fillId="2" borderId="0" xfId="1" applyFont="1" applyFill="1"/>
    <xf numFmtId="4" fontId="7" fillId="2" borderId="0" xfId="1" applyNumberFormat="1" applyFont="1" applyFill="1"/>
    <xf numFmtId="0" fontId="16" fillId="2" borderId="11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center" vertical="center" wrapText="1"/>
    </xf>
    <xf numFmtId="0" fontId="7" fillId="2" borderId="0" xfId="2" applyFont="1" applyFill="1"/>
    <xf numFmtId="0" fontId="8" fillId="2" borderId="0" xfId="1" applyFont="1" applyFill="1" applyBorder="1" applyAlignment="1">
      <alignment horizontal="center" vertical="center" wrapText="1"/>
    </xf>
    <xf numFmtId="164" fontId="8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/>
    <xf numFmtId="164" fontId="9" fillId="2" borderId="0" xfId="2" applyNumberFormat="1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9" xfId="2" applyFont="1" applyFill="1" applyBorder="1" applyAlignment="1">
      <alignment horizontal="center" vertical="center"/>
    </xf>
    <xf numFmtId="164" fontId="9" fillId="2" borderId="10" xfId="2" applyNumberFormat="1" applyFont="1" applyFill="1" applyBorder="1" applyAlignment="1">
      <alignment horizontal="center" vertical="center" wrapText="1"/>
    </xf>
    <xf numFmtId="2" fontId="18" fillId="2" borderId="13" xfId="1" applyNumberFormat="1" applyFont="1" applyFill="1" applyBorder="1" applyAlignment="1">
      <alignment horizontal="center" vertical="center"/>
    </xf>
    <xf numFmtId="4" fontId="15" fillId="2" borderId="19" xfId="2" applyNumberFormat="1" applyFont="1" applyFill="1" applyBorder="1" applyAlignment="1">
      <alignment horizontal="center" vertical="center" wrapText="1"/>
    </xf>
    <xf numFmtId="0" fontId="15" fillId="2" borderId="18" xfId="2" applyFont="1" applyFill="1" applyBorder="1" applyAlignment="1">
      <alignment vertical="center" wrapText="1"/>
    </xf>
    <xf numFmtId="0" fontId="15" fillId="2" borderId="19" xfId="2" applyFont="1" applyFill="1" applyBorder="1" applyAlignment="1">
      <alignment vertical="center" wrapText="1"/>
    </xf>
    <xf numFmtId="4" fontId="16" fillId="2" borderId="19" xfId="2" applyNumberFormat="1" applyFont="1" applyFill="1" applyBorder="1" applyAlignment="1">
      <alignment horizontal="center" vertical="center" wrapText="1"/>
    </xf>
    <xf numFmtId="4" fontId="16" fillId="2" borderId="20" xfId="2" applyNumberFormat="1" applyFont="1" applyFill="1" applyBorder="1" applyAlignment="1">
      <alignment horizontal="center" vertical="center" wrapText="1"/>
    </xf>
    <xf numFmtId="0" fontId="16" fillId="2" borderId="19" xfId="2" applyFont="1" applyFill="1" applyBorder="1" applyAlignment="1">
      <alignment horizontal="center" vertical="center" wrapText="1"/>
    </xf>
    <xf numFmtId="4" fontId="16" fillId="2" borderId="8" xfId="2" applyNumberFormat="1" applyFont="1" applyFill="1" applyBorder="1" applyAlignment="1">
      <alignment horizontal="center" vertical="center" wrapText="1"/>
    </xf>
    <xf numFmtId="164" fontId="16" fillId="2" borderId="0" xfId="2" applyNumberFormat="1" applyFont="1" applyFill="1" applyBorder="1" applyAlignment="1">
      <alignment horizontal="center" vertical="center" wrapText="1"/>
    </xf>
    <xf numFmtId="164" fontId="15" fillId="2" borderId="0" xfId="2" applyNumberFormat="1" applyFont="1" applyFill="1" applyBorder="1" applyAlignment="1">
      <alignment horizontal="center" vertical="center" wrapText="1"/>
    </xf>
    <xf numFmtId="4" fontId="16" fillId="2" borderId="0" xfId="2" applyNumberFormat="1" applyFont="1" applyFill="1" applyBorder="1" applyAlignment="1">
      <alignment horizontal="center" vertical="center" wrapText="1"/>
    </xf>
    <xf numFmtId="4" fontId="7" fillId="2" borderId="0" xfId="2" applyNumberFormat="1" applyFont="1" applyFill="1"/>
    <xf numFmtId="0" fontId="0" fillId="2" borderId="0" xfId="0" applyFill="1"/>
    <xf numFmtId="0" fontId="0" fillId="2" borderId="0" xfId="0" applyFill="1" applyBorder="1"/>
    <xf numFmtId="164" fontId="7" fillId="2" borderId="0" xfId="1" applyNumberFormat="1" applyFont="1" applyFill="1"/>
    <xf numFmtId="0" fontId="5" fillId="2" borderId="0" xfId="1" applyFill="1"/>
    <xf numFmtId="0" fontId="5" fillId="2" borderId="0" xfId="1" applyFill="1" applyBorder="1"/>
    <xf numFmtId="4" fontId="5" fillId="2" borderId="0" xfId="1" applyNumberFormat="1" applyFill="1"/>
    <xf numFmtId="4" fontId="15" fillId="2" borderId="13" xfId="2" applyNumberFormat="1" applyFont="1" applyFill="1" applyBorder="1" applyAlignment="1">
      <alignment horizontal="center" vertical="center" wrapText="1"/>
    </xf>
    <xf numFmtId="4" fontId="15" fillId="2" borderId="14" xfId="2" applyNumberFormat="1" applyFont="1" applyFill="1" applyBorder="1" applyAlignment="1">
      <alignment horizontal="center" vertical="center" wrapText="1"/>
    </xf>
    <xf numFmtId="0" fontId="16" fillId="2" borderId="6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18" fillId="2" borderId="13" xfId="1" applyFont="1" applyFill="1" applyBorder="1" applyAlignment="1">
      <alignment horizontal="center" vertical="center" wrapText="1"/>
    </xf>
    <xf numFmtId="4" fontId="16" fillId="2" borderId="22" xfId="2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0" fontId="15" fillId="2" borderId="8" xfId="2" applyFont="1" applyFill="1" applyBorder="1" applyAlignment="1">
      <alignment horizontal="center" vertical="center" wrapText="1"/>
    </xf>
    <xf numFmtId="4" fontId="15" fillId="2" borderId="8" xfId="2" applyNumberFormat="1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horizontal="left"/>
    </xf>
    <xf numFmtId="0" fontId="20" fillId="2" borderId="0" xfId="2" applyFont="1" applyFill="1" applyBorder="1"/>
    <xf numFmtId="0" fontId="21" fillId="2" borderId="0" xfId="0" applyFont="1" applyFill="1" applyBorder="1"/>
    <xf numFmtId="0" fontId="19" fillId="2" borderId="0" xfId="2" applyFont="1" applyFill="1" applyBorder="1"/>
    <xf numFmtId="0" fontId="19" fillId="2" borderId="0" xfId="2" applyFont="1" applyFill="1" applyAlignment="1">
      <alignment horizontal="left"/>
    </xf>
    <xf numFmtId="0" fontId="19" fillId="2" borderId="0" xfId="2" applyFont="1" applyFill="1"/>
    <xf numFmtId="0" fontId="20" fillId="2" borderId="0" xfId="2" applyFont="1" applyFill="1"/>
    <xf numFmtId="0" fontId="15" fillId="2" borderId="23" xfId="3" applyNumberFormat="1" applyFont="1" applyFill="1" applyBorder="1" applyAlignment="1">
      <alignment vertical="center" wrapText="1"/>
    </xf>
    <xf numFmtId="0" fontId="0" fillId="4" borderId="0" xfId="0" applyFill="1"/>
    <xf numFmtId="0" fontId="15" fillId="2" borderId="24" xfId="3" applyNumberFormat="1" applyFont="1" applyFill="1" applyBorder="1" applyAlignment="1">
      <alignment horizontal="center" vertical="center" wrapText="1"/>
    </xf>
    <xf numFmtId="2" fontId="18" fillId="2" borderId="17" xfId="1" applyNumberFormat="1" applyFont="1" applyFill="1" applyBorder="1" applyAlignment="1">
      <alignment horizontal="center" vertical="center" wrapText="1"/>
    </xf>
    <xf numFmtId="164" fontId="15" fillId="2" borderId="17" xfId="2" applyNumberFormat="1" applyFont="1" applyFill="1" applyBorder="1" applyAlignment="1">
      <alignment horizontal="center" vertical="center" wrapText="1"/>
    </xf>
    <xf numFmtId="4" fontId="15" fillId="2" borderId="16" xfId="2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15" fillId="2" borderId="15" xfId="2" applyFont="1" applyFill="1" applyBorder="1" applyAlignment="1">
      <alignment horizontal="center" vertical="center" wrapText="1"/>
    </xf>
    <xf numFmtId="0" fontId="15" fillId="2" borderId="17" xfId="3" applyNumberFormat="1" applyFont="1" applyFill="1" applyBorder="1" applyAlignment="1">
      <alignment horizontal="center" vertical="center" wrapText="1"/>
    </xf>
    <xf numFmtId="0" fontId="15" fillId="2" borderId="13" xfId="3" applyNumberFormat="1" applyFont="1" applyFill="1" applyBorder="1" applyAlignment="1">
      <alignment horizontal="center" vertical="center" wrapText="1"/>
    </xf>
    <xf numFmtId="2" fontId="18" fillId="2" borderId="17" xfId="1" applyNumberFormat="1" applyFont="1" applyFill="1" applyBorder="1" applyAlignment="1">
      <alignment horizontal="center" vertical="center"/>
    </xf>
    <xf numFmtId="0" fontId="15" fillId="2" borderId="13" xfId="3" applyNumberFormat="1" applyFont="1" applyFill="1" applyBorder="1" applyAlignment="1">
      <alignment horizontal="center" vertical="center" wrapText="1"/>
    </xf>
    <xf numFmtId="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5" fillId="2" borderId="13" xfId="2" applyFont="1" applyFill="1" applyBorder="1" applyAlignment="1">
      <alignment horizontal="center" vertical="center" wrapText="1"/>
    </xf>
    <xf numFmtId="2" fontId="18" fillId="0" borderId="13" xfId="1" applyNumberFormat="1" applyFont="1" applyFill="1" applyBorder="1" applyAlignment="1">
      <alignment horizontal="center" vertical="center" wrapText="1"/>
    </xf>
    <xf numFmtId="4" fontId="15" fillId="0" borderId="13" xfId="2" applyNumberFormat="1" applyFont="1" applyFill="1" applyBorder="1" applyAlignment="1">
      <alignment horizontal="center" vertical="center" wrapText="1"/>
    </xf>
    <xf numFmtId="164" fontId="15" fillId="0" borderId="13" xfId="2" applyNumberFormat="1" applyFont="1" applyFill="1" applyBorder="1" applyAlignment="1">
      <alignment horizontal="center" vertical="center" wrapText="1"/>
    </xf>
    <xf numFmtId="0" fontId="5" fillId="0" borderId="13" xfId="1" applyFill="1" applyBorder="1"/>
    <xf numFmtId="2" fontId="15" fillId="0" borderId="13" xfId="1" applyNumberFormat="1" applyFont="1" applyFill="1" applyBorder="1" applyAlignment="1">
      <alignment horizontal="center" vertical="center"/>
    </xf>
    <xf numFmtId="2" fontId="15" fillId="0" borderId="13" xfId="3" applyNumberFormat="1" applyFont="1" applyFill="1" applyBorder="1" applyAlignment="1">
      <alignment horizontal="center" vertical="center" wrapText="1"/>
    </xf>
    <xf numFmtId="0" fontId="0" fillId="0" borderId="0" xfId="0" applyFill="1"/>
    <xf numFmtId="2" fontId="0" fillId="0" borderId="0" xfId="0" applyNumberFormat="1" applyFill="1"/>
    <xf numFmtId="2" fontId="0" fillId="0" borderId="0" xfId="0" applyNumberFormat="1" applyFill="1" applyAlignment="1">
      <alignment vertical="center"/>
    </xf>
    <xf numFmtId="0" fontId="8" fillId="0" borderId="13" xfId="2" applyFont="1" applyFill="1" applyBorder="1" applyAlignment="1">
      <alignment horizontal="center" vertical="center" wrapText="1"/>
    </xf>
    <xf numFmtId="0" fontId="15" fillId="0" borderId="13" xfId="3" applyNumberFormat="1" applyFont="1" applyFill="1" applyBorder="1" applyAlignment="1">
      <alignment horizontal="center" vertical="center" wrapText="1"/>
    </xf>
    <xf numFmtId="2" fontId="15" fillId="0" borderId="13" xfId="2" applyNumberFormat="1" applyFont="1" applyFill="1" applyBorder="1" applyAlignment="1">
      <alignment horizontal="center" vertical="center" wrapText="1"/>
    </xf>
    <xf numFmtId="2" fontId="18" fillId="0" borderId="13" xfId="1" applyNumberFormat="1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center" vertical="center"/>
    </xf>
    <xf numFmtId="164" fontId="9" fillId="2" borderId="13" xfId="2" applyNumberFormat="1" applyFont="1" applyFill="1" applyBorder="1" applyAlignment="1">
      <alignment horizontal="center" vertical="center" wrapText="1"/>
    </xf>
    <xf numFmtId="0" fontId="0" fillId="0" borderId="13" xfId="0" applyFill="1" applyBorder="1"/>
    <xf numFmtId="2" fontId="18" fillId="2" borderId="13" xfId="1" applyNumberFormat="1" applyFont="1" applyFill="1" applyBorder="1" applyAlignment="1">
      <alignment horizontal="center" vertical="center" wrapText="1"/>
    </xf>
    <xf numFmtId="0" fontId="16" fillId="2" borderId="13" xfId="2" applyFont="1" applyFill="1" applyBorder="1" applyAlignment="1">
      <alignment horizontal="center" vertical="center" wrapText="1"/>
    </xf>
    <xf numFmtId="4" fontId="16" fillId="2" borderId="13" xfId="2" applyNumberFormat="1" applyFont="1" applyFill="1" applyBorder="1" applyAlignment="1">
      <alignment horizontal="center" vertical="center" wrapText="1"/>
    </xf>
    <xf numFmtId="2" fontId="15" fillId="2" borderId="13" xfId="3" applyNumberFormat="1" applyFont="1" applyFill="1" applyBorder="1" applyAlignment="1">
      <alignment horizontal="center" vertical="center" wrapText="1"/>
    </xf>
    <xf numFmtId="2" fontId="15" fillId="0" borderId="13" xfId="1" applyNumberFormat="1" applyFont="1" applyFill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 vertical="center"/>
    </xf>
    <xf numFmtId="0" fontId="9" fillId="2" borderId="21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6" fillId="2" borderId="21" xfId="2" applyFont="1" applyFill="1" applyBorder="1" applyAlignment="1">
      <alignment horizontal="center" vertical="center"/>
    </xf>
    <xf numFmtId="0" fontId="16" fillId="2" borderId="12" xfId="2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 wrapText="1"/>
    </xf>
    <xf numFmtId="0" fontId="15" fillId="0" borderId="13" xfId="3" applyNumberFormat="1" applyFon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horizontal="center" vertical="center" wrapText="1"/>
    </xf>
    <xf numFmtId="2" fontId="15" fillId="0" borderId="13" xfId="2" applyNumberFormat="1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center" vertical="center" wrapText="1"/>
    </xf>
    <xf numFmtId="0" fontId="15" fillId="2" borderId="13" xfId="3" applyNumberFormat="1" applyFont="1" applyFill="1" applyBorder="1" applyAlignment="1">
      <alignment horizontal="center" vertical="center" wrapText="1"/>
    </xf>
    <xf numFmtId="2" fontId="18" fillId="0" borderId="13" xfId="1" applyNumberFormat="1" applyFont="1" applyFill="1" applyBorder="1" applyAlignment="1">
      <alignment horizontal="center" vertical="center"/>
    </xf>
    <xf numFmtId="0" fontId="8" fillId="2" borderId="13" xfId="2" applyFont="1" applyFill="1" applyBorder="1" applyAlignment="1">
      <alignment horizontal="center" vertical="center" wrapText="1"/>
    </xf>
    <xf numFmtId="4" fontId="15" fillId="0" borderId="13" xfId="2" applyNumberFormat="1" applyFont="1" applyFill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center" vertical="center"/>
    </xf>
    <xf numFmtId="0" fontId="15" fillId="2" borderId="13" xfId="2" applyFont="1" applyFill="1" applyBorder="1" applyAlignment="1">
      <alignment horizontal="center" vertical="center" wrapText="1"/>
    </xf>
    <xf numFmtId="0" fontId="16" fillId="2" borderId="13" xfId="2" applyFont="1" applyFill="1" applyBorder="1" applyAlignment="1">
      <alignment horizontal="center" vertical="center"/>
    </xf>
    <xf numFmtId="0" fontId="9" fillId="2" borderId="13" xfId="2" applyFont="1" applyFill="1" applyBorder="1" applyAlignment="1">
      <alignment horizontal="center" vertical="center" wrapText="1"/>
    </xf>
    <xf numFmtId="0" fontId="16" fillId="2" borderId="13" xfId="2" applyFont="1" applyFill="1" applyBorder="1" applyAlignment="1">
      <alignment horizontal="center" vertical="center" wrapText="1"/>
    </xf>
    <xf numFmtId="2" fontId="18" fillId="2" borderId="13" xfId="1" applyNumberFormat="1" applyFont="1" applyFill="1" applyBorder="1" applyAlignment="1">
      <alignment horizontal="center" vertical="center"/>
    </xf>
  </cellXfs>
  <cellStyles count="14">
    <cellStyle name="Обычный" xfId="0" builtinId="0"/>
    <cellStyle name="Обычный 100 2" xfId="10"/>
    <cellStyle name="Обычный 2" xfId="1"/>
    <cellStyle name="Обычный 2 10" xfId="4"/>
    <cellStyle name="Обычный 2 2" xfId="2"/>
    <cellStyle name="Обычный 2 6 3" xfId="9"/>
    <cellStyle name="Обычный 29" xfId="5"/>
    <cellStyle name="Обычный 3" xfId="6"/>
    <cellStyle name="Обычный 4" xfId="7"/>
    <cellStyle name="Обычный 5" xfId="8"/>
    <cellStyle name="Обычный 6" xfId="11"/>
    <cellStyle name="Обычный 7" xfId="13"/>
    <cellStyle name="Обычный_Бизнес-план 2005 г. (РВК)1 экспериментальн 2 со 2 квартала_1" xfId="3"/>
    <cellStyle name="Финансовый 2" xfId="12"/>
  </cellStyles>
  <dxfs count="0"/>
  <tableStyles count="0" defaultTableStyle="TableStyleMedium2" defaultPivotStyle="PivotStyleMedium9"/>
  <colors>
    <mruColors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C000"/>
    <pageSetUpPr fitToPage="1"/>
  </sheetPr>
  <dimension ref="A1:AJ26"/>
  <sheetViews>
    <sheetView view="pageBreakPreview" zoomScale="80" zoomScaleNormal="89" zoomScaleSheetLayoutView="80" zoomScalePageLayoutView="40" workbookViewId="0">
      <selection activeCell="A22" sqref="A22:F26"/>
    </sheetView>
  </sheetViews>
  <sheetFormatPr defaultColWidth="9.140625" defaultRowHeight="15" x14ac:dyDescent="0.25"/>
  <cols>
    <col min="1" max="1" width="50" style="8" customWidth="1"/>
    <col min="2" max="2" width="26.140625" style="8" customWidth="1"/>
    <col min="3" max="3" width="19.140625" style="8" customWidth="1"/>
    <col min="4" max="4" width="20" style="8" customWidth="1"/>
    <col min="5" max="5" width="22.5703125" style="8" customWidth="1"/>
    <col min="6" max="6" width="20" style="8" customWidth="1"/>
    <col min="7" max="7" width="18" style="8" customWidth="1"/>
    <col min="8" max="8" width="17.140625" style="8" customWidth="1"/>
    <col min="9" max="9" width="14.140625" style="8" customWidth="1"/>
    <col min="10" max="10" width="17.42578125" style="35" customWidth="1"/>
    <col min="11" max="11" width="18.5703125" style="1" customWidth="1"/>
    <col min="12" max="12" width="14.28515625" style="1" customWidth="1"/>
    <col min="13" max="13" width="10.5703125" style="1" customWidth="1"/>
    <col min="14" max="14" width="11.85546875" style="1" customWidth="1"/>
    <col min="15" max="15" width="12" style="1" bestFit="1" customWidth="1"/>
    <col min="16" max="17" width="10.28515625" style="1" bestFit="1" customWidth="1"/>
    <col min="18" max="18" width="11.28515625" style="1" customWidth="1"/>
    <col min="19" max="19" width="11.5703125" style="1" customWidth="1"/>
    <col min="20" max="16384" width="9.140625" style="1"/>
  </cols>
  <sheetData>
    <row r="1" spans="1:36" x14ac:dyDescent="0.25">
      <c r="F1" s="14"/>
      <c r="G1" s="15"/>
      <c r="H1" s="16"/>
      <c r="I1" s="15"/>
      <c r="J1" s="15"/>
    </row>
    <row r="2" spans="1:36" ht="15.75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36" ht="38.25" customHeight="1" x14ac:dyDescent="0.25">
      <c r="A3" s="104" t="s">
        <v>25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36" ht="15.75" x14ac:dyDescent="0.25">
      <c r="A4" s="105" t="s">
        <v>233</v>
      </c>
      <c r="B4" s="105"/>
      <c r="C4" s="105"/>
      <c r="D4" s="105"/>
      <c r="E4" s="105"/>
      <c r="F4" s="105"/>
      <c r="G4" s="105"/>
      <c r="H4" s="105"/>
      <c r="I4" s="105"/>
      <c r="J4" s="105"/>
      <c r="K4" s="3"/>
    </row>
    <row r="5" spans="1:36" ht="16.5" thickBot="1" x14ac:dyDescent="0.3">
      <c r="A5" s="50"/>
      <c r="B5" s="50"/>
      <c r="C5" s="50"/>
      <c r="D5" s="50"/>
      <c r="E5" s="50"/>
      <c r="F5" s="50"/>
      <c r="G5" s="50"/>
      <c r="H5" s="50"/>
      <c r="I5" s="50"/>
      <c r="J5" s="17"/>
      <c r="K5" s="5"/>
    </row>
    <row r="6" spans="1:36" ht="15.75" customHeight="1" x14ac:dyDescent="0.25">
      <c r="A6" s="106" t="s">
        <v>1</v>
      </c>
      <c r="B6" s="108" t="s">
        <v>2</v>
      </c>
      <c r="C6" s="109"/>
      <c r="D6" s="110" t="s">
        <v>3</v>
      </c>
      <c r="E6" s="110" t="s">
        <v>4</v>
      </c>
      <c r="F6" s="112" t="s">
        <v>5</v>
      </c>
      <c r="G6" s="113"/>
      <c r="H6" s="110" t="s">
        <v>6</v>
      </c>
      <c r="I6" s="108" t="s">
        <v>7</v>
      </c>
      <c r="J6" s="114"/>
    </row>
    <row r="7" spans="1:36" ht="90.75" customHeight="1" thickBot="1" x14ac:dyDescent="0.3">
      <c r="A7" s="107"/>
      <c r="B7" s="18" t="s">
        <v>8</v>
      </c>
      <c r="C7" s="18" t="s">
        <v>9</v>
      </c>
      <c r="D7" s="111"/>
      <c r="E7" s="111"/>
      <c r="F7" s="19" t="s">
        <v>10</v>
      </c>
      <c r="G7" s="18" t="s">
        <v>11</v>
      </c>
      <c r="H7" s="111"/>
      <c r="I7" s="19" t="s">
        <v>10</v>
      </c>
      <c r="J7" s="20" t="s">
        <v>11</v>
      </c>
      <c r="K7" s="5"/>
    </row>
    <row r="8" spans="1:36" ht="16.5" thickBot="1" x14ac:dyDescent="0.3">
      <c r="A8" s="97" t="s">
        <v>12</v>
      </c>
      <c r="B8" s="98"/>
      <c r="C8" s="98"/>
      <c r="D8" s="98"/>
      <c r="E8" s="98"/>
      <c r="F8" s="98"/>
      <c r="G8" s="98"/>
      <c r="H8" s="98"/>
      <c r="I8" s="98"/>
      <c r="J8" s="99"/>
      <c r="K8" s="3"/>
    </row>
    <row r="9" spans="1:36" ht="49.5" customHeight="1" thickBot="1" x14ac:dyDescent="0.3">
      <c r="A9" s="65" t="s">
        <v>24</v>
      </c>
      <c r="B9" s="60" t="s">
        <v>91</v>
      </c>
      <c r="C9" s="66" t="s">
        <v>92</v>
      </c>
      <c r="D9" s="68">
        <f>16907647/1000</f>
        <v>16907.647000000001</v>
      </c>
      <c r="E9" s="68">
        <f>G9</f>
        <v>5534.3462</v>
      </c>
      <c r="F9" s="61" t="s">
        <v>93</v>
      </c>
      <c r="G9" s="68">
        <f>5534346.2/1000</f>
        <v>5534.3462</v>
      </c>
      <c r="H9" s="68"/>
      <c r="I9" s="62"/>
      <c r="J9" s="63"/>
      <c r="K9" s="36"/>
      <c r="L9" s="36"/>
      <c r="M9" s="36"/>
      <c r="N9" s="38"/>
      <c r="O9" s="38"/>
      <c r="P9" s="38"/>
      <c r="Q9" s="36"/>
      <c r="R9" s="36"/>
      <c r="S9" s="36"/>
    </row>
    <row r="10" spans="1:36" s="2" customFormat="1" ht="15.75" thickBot="1" x14ac:dyDescent="0.3">
      <c r="A10" s="10" t="s">
        <v>13</v>
      </c>
      <c r="B10" s="23"/>
      <c r="C10" s="24"/>
      <c r="D10" s="22"/>
      <c r="E10" s="25">
        <f>SUM(E9:E9)</f>
        <v>5534.3462</v>
      </c>
      <c r="F10" s="25"/>
      <c r="G10" s="25">
        <f>SUM(G9:G9)</f>
        <v>5534.3462</v>
      </c>
      <c r="H10" s="25">
        <f>SUM(H9:H9)</f>
        <v>0</v>
      </c>
      <c r="I10" s="25"/>
      <c r="J10" s="26">
        <f>SUM(J9:J9)</f>
        <v>0</v>
      </c>
      <c r="K10" s="8"/>
      <c r="L10" s="8"/>
      <c r="M10" s="8"/>
      <c r="N10" s="8"/>
      <c r="O10" s="8"/>
      <c r="P10" s="8"/>
      <c r="Q10" s="8"/>
      <c r="R10" s="8"/>
      <c r="S10" s="8"/>
    </row>
    <row r="11" spans="1:36" s="2" customFormat="1" ht="30.75" thickBot="1" x14ac:dyDescent="0.3">
      <c r="A11" s="11" t="s">
        <v>14</v>
      </c>
      <c r="B11" s="27"/>
      <c r="C11" s="27"/>
      <c r="D11" s="27"/>
      <c r="E11" s="25"/>
      <c r="F11" s="22"/>
      <c r="G11" s="25"/>
      <c r="H11" s="25"/>
      <c r="I11" s="22"/>
      <c r="J11" s="26"/>
      <c r="K11" s="8"/>
      <c r="L11" s="8"/>
      <c r="M11" s="8"/>
      <c r="N11" s="8"/>
      <c r="O11" s="8"/>
      <c r="P11" s="8"/>
      <c r="Q11" s="8"/>
      <c r="R11" s="8"/>
      <c r="S11" s="8"/>
    </row>
    <row r="12" spans="1:36" s="2" customFormat="1" ht="33" customHeight="1" thickBot="1" x14ac:dyDescent="0.3">
      <c r="A12" s="11" t="s">
        <v>15</v>
      </c>
      <c r="B12" s="27"/>
      <c r="C12" s="27"/>
      <c r="D12" s="27"/>
      <c r="E12" s="25">
        <f>E10+E11</f>
        <v>5534.3462</v>
      </c>
      <c r="F12" s="22"/>
      <c r="G12" s="25">
        <f>G10+G11</f>
        <v>5534.3462</v>
      </c>
      <c r="H12" s="25">
        <f>H10+H11</f>
        <v>0</v>
      </c>
      <c r="I12" s="22"/>
      <c r="J12" s="26">
        <f>J10+J11</f>
        <v>0</v>
      </c>
      <c r="K12" s="9"/>
      <c r="L12" s="8"/>
      <c r="M12" s="8"/>
      <c r="N12" s="8"/>
      <c r="O12" s="8"/>
      <c r="P12" s="9"/>
      <c r="Q12" s="9"/>
      <c r="R12" s="8"/>
      <c r="S12" s="8"/>
    </row>
    <row r="13" spans="1:36" s="2" customFormat="1" ht="15.75" thickBot="1" x14ac:dyDescent="0.3">
      <c r="A13" s="100" t="s">
        <v>16</v>
      </c>
      <c r="B13" s="101"/>
      <c r="C13" s="101"/>
      <c r="D13" s="101"/>
      <c r="E13" s="101"/>
      <c r="F13" s="101"/>
      <c r="G13" s="101"/>
      <c r="H13" s="101"/>
      <c r="I13" s="101"/>
      <c r="J13" s="102"/>
      <c r="K13" s="8"/>
      <c r="L13" s="9"/>
      <c r="M13" s="8"/>
      <c r="N13" s="8"/>
      <c r="O13" s="8"/>
      <c r="P13" s="9"/>
      <c r="Q13" s="9"/>
      <c r="R13" s="8"/>
      <c r="S13" s="8"/>
    </row>
    <row r="14" spans="1:36" s="6" customFormat="1" ht="33.75" customHeight="1" thickBot="1" x14ac:dyDescent="0.3">
      <c r="A14" s="58"/>
      <c r="B14" s="67"/>
      <c r="C14" s="67"/>
      <c r="D14" s="21"/>
      <c r="E14" s="39"/>
      <c r="F14" s="44"/>
      <c r="G14" s="39"/>
      <c r="H14" s="39"/>
      <c r="I14" s="49"/>
      <c r="J14" s="40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</row>
    <row r="15" spans="1:36" s="7" customFormat="1" ht="15.75" thickBot="1" x14ac:dyDescent="0.3">
      <c r="A15" s="41" t="s">
        <v>17</v>
      </c>
      <c r="B15" s="47"/>
      <c r="C15" s="47"/>
      <c r="D15" s="47"/>
      <c r="E15" s="28">
        <f>SUM(E14:E14)</f>
        <v>0</v>
      </c>
      <c r="F15" s="28"/>
      <c r="G15" s="28">
        <f>SUM(G14:G14)</f>
        <v>0</v>
      </c>
      <c r="H15" s="28">
        <f>SUM(H14:H14)</f>
        <v>0</v>
      </c>
      <c r="I15" s="28"/>
      <c r="J15" s="45">
        <f>SUM(J14:J14)</f>
        <v>0</v>
      </c>
      <c r="K15" s="4"/>
      <c r="L15" s="4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</row>
    <row r="16" spans="1:36" ht="30.75" thickBot="1" x14ac:dyDescent="0.3">
      <c r="A16" s="41" t="s">
        <v>18</v>
      </c>
      <c r="B16" s="42"/>
      <c r="C16" s="42"/>
      <c r="D16" s="42"/>
      <c r="E16" s="28"/>
      <c r="F16" s="48"/>
      <c r="G16" s="28"/>
      <c r="H16" s="28"/>
      <c r="I16" s="48"/>
      <c r="J16" s="45"/>
      <c r="N16" s="36"/>
      <c r="O16" s="36"/>
      <c r="P16" s="38"/>
      <c r="Q16" s="36"/>
      <c r="R16" s="36"/>
      <c r="S16" s="36"/>
    </row>
    <row r="17" spans="1:19" ht="30.75" thickBot="1" x14ac:dyDescent="0.3">
      <c r="A17" s="11" t="s">
        <v>19</v>
      </c>
      <c r="B17" s="27"/>
      <c r="C17" s="27"/>
      <c r="D17" s="27"/>
      <c r="E17" s="25">
        <f>E15+E16</f>
        <v>0</v>
      </c>
      <c r="F17" s="22"/>
      <c r="G17" s="25">
        <f>G15+G16</f>
        <v>0</v>
      </c>
      <c r="H17" s="25">
        <f>H15+H16</f>
        <v>0</v>
      </c>
      <c r="I17" s="22"/>
      <c r="J17" s="26"/>
      <c r="M17" s="3"/>
      <c r="N17" s="36"/>
      <c r="O17" s="36"/>
      <c r="P17" s="36"/>
      <c r="Q17" s="38"/>
      <c r="R17" s="36"/>
      <c r="S17" s="36"/>
    </row>
    <row r="18" spans="1:19" ht="49.5" customHeight="1" thickBot="1" x14ac:dyDescent="0.3">
      <c r="A18" s="11" t="s">
        <v>20</v>
      </c>
      <c r="B18" s="27"/>
      <c r="C18" s="27"/>
      <c r="D18" s="27"/>
      <c r="E18" s="25">
        <f>E12+E17</f>
        <v>5534.3462</v>
      </c>
      <c r="F18" s="25"/>
      <c r="G18" s="25">
        <f>G12+G17</f>
        <v>5534.3462</v>
      </c>
      <c r="H18" s="25">
        <f>H12+H17</f>
        <v>0</v>
      </c>
      <c r="I18" s="22"/>
      <c r="J18" s="26">
        <f>J12+J17</f>
        <v>0</v>
      </c>
      <c r="N18" s="36"/>
      <c r="O18" s="36"/>
      <c r="P18" s="36"/>
      <c r="Q18" s="38"/>
      <c r="R18" s="36"/>
      <c r="S18" s="36"/>
    </row>
    <row r="19" spans="1:19" x14ac:dyDescent="0.25">
      <c r="A19" s="12"/>
      <c r="B19" s="12"/>
      <c r="C19" s="12"/>
      <c r="D19" s="12"/>
      <c r="E19" s="29"/>
      <c r="F19" s="30"/>
      <c r="G19" s="29"/>
      <c r="H19" s="31"/>
      <c r="I19" s="30"/>
      <c r="J19" s="29"/>
      <c r="N19" s="36"/>
      <c r="O19" s="36"/>
      <c r="P19" s="36"/>
      <c r="Q19" s="36"/>
      <c r="R19" s="36"/>
      <c r="S19" s="36"/>
    </row>
    <row r="20" spans="1:19" ht="22.5" customHeight="1" x14ac:dyDescent="0.25">
      <c r="A20" s="13"/>
      <c r="B20" s="12"/>
      <c r="C20" s="12"/>
      <c r="D20" s="12"/>
      <c r="E20" s="32"/>
      <c r="F20" s="30"/>
      <c r="G20" s="29"/>
      <c r="H20" s="29"/>
      <c r="I20" s="30"/>
      <c r="J20" s="29"/>
      <c r="N20" s="36"/>
      <c r="O20" s="36"/>
      <c r="P20" s="36"/>
      <c r="Q20" s="36"/>
      <c r="R20" s="36"/>
      <c r="S20" s="36"/>
    </row>
    <row r="22" spans="1:19" ht="18.75" x14ac:dyDescent="0.3">
      <c r="A22" s="51" t="s">
        <v>21</v>
      </c>
      <c r="B22" s="52"/>
      <c r="C22" s="52"/>
      <c r="D22" s="52"/>
      <c r="E22" s="53" t="s">
        <v>23</v>
      </c>
      <c r="F22" s="34"/>
    </row>
    <row r="23" spans="1:19" ht="18.75" x14ac:dyDescent="0.3">
      <c r="A23" s="51"/>
      <c r="B23" s="54"/>
      <c r="C23" s="54"/>
      <c r="D23" s="52"/>
      <c r="E23" s="52"/>
      <c r="F23" s="34"/>
    </row>
    <row r="24" spans="1:19" ht="18.75" x14ac:dyDescent="0.3">
      <c r="A24" s="51"/>
      <c r="B24" s="54"/>
      <c r="C24" s="54"/>
      <c r="D24" s="52"/>
      <c r="E24" s="52"/>
      <c r="F24" s="34"/>
    </row>
    <row r="25" spans="1:19" ht="18.75" x14ac:dyDescent="0.3">
      <c r="A25" s="55"/>
      <c r="B25" s="56"/>
      <c r="C25" s="56"/>
      <c r="D25" s="57"/>
      <c r="E25" s="57"/>
      <c r="F25" s="34"/>
    </row>
    <row r="26" spans="1:19" ht="18.75" x14ac:dyDescent="0.3">
      <c r="A26" s="55" t="s">
        <v>42</v>
      </c>
      <c r="B26" s="56"/>
      <c r="C26" s="56"/>
      <c r="D26" s="57"/>
      <c r="E26" s="56" t="s">
        <v>22</v>
      </c>
      <c r="F26" s="34"/>
    </row>
  </sheetData>
  <mergeCells count="12">
    <mergeCell ref="A8:J8"/>
    <mergeCell ref="A13:J13"/>
    <mergeCell ref="A2:J2"/>
    <mergeCell ref="A3:J3"/>
    <mergeCell ref="A4:J4"/>
    <mergeCell ref="A6:A7"/>
    <mergeCell ref="B6:C6"/>
    <mergeCell ref="D6:D7"/>
    <mergeCell ref="E6:E7"/>
    <mergeCell ref="F6:G6"/>
    <mergeCell ref="H6:H7"/>
    <mergeCell ref="I6:J6"/>
  </mergeCells>
  <pageMargins left="0.70866141732283472" right="0.19685039370078741" top="0.74803149606299213" bottom="0.74803149606299213" header="0.31496062992125984" footer="0.31496062992125984"/>
  <pageSetup paperSize="9" scale="61" fitToHeight="0" orientation="landscape" r:id="rId1"/>
  <rowBreaks count="1" manualBreakCount="1">
    <brk id="2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37"/>
  <sheetViews>
    <sheetView tabSelected="1" view="pageBreakPreview" zoomScale="68" zoomScaleNormal="90" zoomScaleSheetLayoutView="68" workbookViewId="0">
      <pane ySplit="8" topLeftCell="A219" activePane="bottomLeft" state="frozen"/>
      <selection pane="bottomLeft" activeCell="E226" sqref="E226"/>
    </sheetView>
  </sheetViews>
  <sheetFormatPr defaultRowHeight="15" x14ac:dyDescent="0.25"/>
  <cols>
    <col min="1" max="1" width="54.28515625" customWidth="1"/>
    <col min="2" max="2" width="27.5703125" customWidth="1"/>
    <col min="3" max="3" width="28.85546875" customWidth="1"/>
    <col min="4" max="4" width="17.5703125" customWidth="1"/>
    <col min="5" max="5" width="17.28515625" customWidth="1"/>
    <col min="6" max="6" width="13.5703125" customWidth="1"/>
    <col min="7" max="7" width="16.28515625" customWidth="1"/>
    <col min="8" max="8" width="18" customWidth="1"/>
    <col min="9" max="9" width="14.42578125" customWidth="1"/>
    <col min="10" max="10" width="15.7109375" customWidth="1"/>
    <col min="12" max="12" width="18.28515625" customWidth="1"/>
    <col min="14" max="14" width="15.140625" customWidth="1"/>
  </cols>
  <sheetData>
    <row r="2" spans="1:20" ht="15.75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20" ht="38.25" customHeight="1" x14ac:dyDescent="0.25">
      <c r="A3" s="104" t="s">
        <v>38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20" ht="15.75" x14ac:dyDescent="0.25">
      <c r="A4" s="105" t="s">
        <v>137</v>
      </c>
      <c r="B4" s="105"/>
      <c r="C4" s="105"/>
      <c r="D4" s="105"/>
      <c r="E4" s="105"/>
      <c r="F4" s="105"/>
      <c r="G4" s="105"/>
      <c r="H4" s="105"/>
      <c r="I4" s="105"/>
      <c r="J4" s="105"/>
    </row>
    <row r="5" spans="1:20" ht="15.75" x14ac:dyDescent="0.25">
      <c r="A5" s="43"/>
      <c r="B5" s="43"/>
      <c r="C5" s="43"/>
      <c r="D5" s="43"/>
      <c r="E5" s="43"/>
      <c r="F5" s="43"/>
      <c r="G5" s="43"/>
      <c r="H5" s="43"/>
      <c r="I5" s="43"/>
      <c r="J5" s="17"/>
    </row>
    <row r="6" spans="1:20" ht="15.75" x14ac:dyDescent="0.25">
      <c r="A6" s="126" t="s">
        <v>1</v>
      </c>
      <c r="B6" s="126" t="s">
        <v>2</v>
      </c>
      <c r="C6" s="126"/>
      <c r="D6" s="126" t="s">
        <v>3</v>
      </c>
      <c r="E6" s="126" t="s">
        <v>4</v>
      </c>
      <c r="F6" s="123" t="s">
        <v>5</v>
      </c>
      <c r="G6" s="123"/>
      <c r="H6" s="126" t="s">
        <v>6</v>
      </c>
      <c r="I6" s="126" t="s">
        <v>7</v>
      </c>
      <c r="J6" s="126"/>
    </row>
    <row r="7" spans="1:20" ht="59.25" customHeight="1" x14ac:dyDescent="0.25">
      <c r="A7" s="126"/>
      <c r="B7" s="88" t="s">
        <v>8</v>
      </c>
      <c r="C7" s="88" t="s">
        <v>9</v>
      </c>
      <c r="D7" s="126"/>
      <c r="E7" s="126"/>
      <c r="F7" s="89" t="s">
        <v>10</v>
      </c>
      <c r="G7" s="88" t="s">
        <v>11</v>
      </c>
      <c r="H7" s="126"/>
      <c r="I7" s="89" t="s">
        <v>10</v>
      </c>
      <c r="J7" s="90" t="s">
        <v>11</v>
      </c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ht="15.75" x14ac:dyDescent="0.25">
      <c r="A8" s="123" t="s">
        <v>12</v>
      </c>
      <c r="B8" s="123"/>
      <c r="C8" s="123"/>
      <c r="D8" s="123"/>
      <c r="E8" s="123"/>
      <c r="F8" s="123"/>
      <c r="G8" s="123"/>
      <c r="H8" s="123"/>
      <c r="I8" s="123"/>
      <c r="J8" s="12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38.25" customHeight="1" x14ac:dyDescent="0.25">
      <c r="A9" s="116" t="s">
        <v>49</v>
      </c>
      <c r="B9" s="115" t="s">
        <v>28</v>
      </c>
      <c r="C9" s="115"/>
      <c r="D9" s="115"/>
      <c r="E9" s="86">
        <f>G9</f>
        <v>15.225043992606301</v>
      </c>
      <c r="F9" s="86"/>
      <c r="G9" s="86">
        <v>15.225043992606301</v>
      </c>
      <c r="H9" s="86">
        <f>J9</f>
        <v>67.026479999999992</v>
      </c>
      <c r="I9" s="86"/>
      <c r="J9" s="86">
        <v>67.026479999999992</v>
      </c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37.5" customHeight="1" x14ac:dyDescent="0.25">
      <c r="A10" s="116"/>
      <c r="B10" s="115" t="s">
        <v>33</v>
      </c>
      <c r="C10" s="115"/>
      <c r="D10" s="115"/>
      <c r="E10" s="86">
        <f t="shared" ref="E10:E24" si="0">G10</f>
        <v>56.709023486800604</v>
      </c>
      <c r="F10" s="86"/>
      <c r="G10" s="86">
        <v>56.709023486800604</v>
      </c>
      <c r="H10" s="86">
        <f t="shared" ref="H10:H24" si="1">J10</f>
        <v>12.120419999999999</v>
      </c>
      <c r="I10" s="86"/>
      <c r="J10" s="86">
        <v>12.120419999999999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ht="34.5" customHeight="1" x14ac:dyDescent="0.25">
      <c r="A11" s="116"/>
      <c r="B11" s="115" t="s">
        <v>34</v>
      </c>
      <c r="C11" s="115"/>
      <c r="D11" s="115"/>
      <c r="E11" s="86">
        <f t="shared" si="0"/>
        <v>16.120225076313702</v>
      </c>
      <c r="F11" s="86"/>
      <c r="G11" s="86">
        <v>16.120225076313702</v>
      </c>
      <c r="H11" s="86">
        <f t="shared" si="1"/>
        <v>27.195349999999998</v>
      </c>
      <c r="I11" s="86"/>
      <c r="J11" s="86">
        <v>27.195349999999998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ht="34.5" customHeight="1" x14ac:dyDescent="0.25">
      <c r="A12" s="116"/>
      <c r="B12" s="115" t="s">
        <v>218</v>
      </c>
      <c r="C12" s="115"/>
      <c r="D12" s="115"/>
      <c r="E12" s="86">
        <f>+G12</f>
        <v>18.287957444279296</v>
      </c>
      <c r="F12" s="86"/>
      <c r="G12" s="86">
        <f>18287.9574442793/1000</f>
        <v>18.287957444279296</v>
      </c>
      <c r="H12" s="86"/>
      <c r="I12" s="86"/>
      <c r="J12" s="86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spans="1:20" ht="34.5" customHeight="1" x14ac:dyDescent="0.25">
      <c r="A13" s="116"/>
      <c r="B13" s="115" t="s">
        <v>155</v>
      </c>
      <c r="C13" s="115"/>
      <c r="D13" s="115"/>
      <c r="E13" s="86">
        <f>+G13</f>
        <v>9.1941305786350203</v>
      </c>
      <c r="F13" s="86"/>
      <c r="G13" s="86">
        <f>9194.13057863502/1000</f>
        <v>9.1941305786350203</v>
      </c>
      <c r="H13" s="86">
        <f>+J13</f>
        <v>25.134840000000001</v>
      </c>
      <c r="I13" s="86"/>
      <c r="J13" s="86">
        <f>25134.84/1000</f>
        <v>25.134840000000001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spans="1:20" ht="36.75" customHeight="1" x14ac:dyDescent="0.25">
      <c r="A14" s="116" t="s">
        <v>50</v>
      </c>
      <c r="B14" s="115" t="s">
        <v>28</v>
      </c>
      <c r="C14" s="115"/>
      <c r="D14" s="115"/>
      <c r="E14" s="86">
        <f t="shared" si="0"/>
        <v>30.450090942698697</v>
      </c>
      <c r="F14" s="86"/>
      <c r="G14" s="86">
        <v>30.450090942698697</v>
      </c>
      <c r="H14" s="86">
        <f t="shared" si="1"/>
        <v>134.05313000000001</v>
      </c>
      <c r="I14" s="86"/>
      <c r="J14" s="86">
        <v>134.05313000000001</v>
      </c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spans="1:20" ht="38.25" customHeight="1" x14ac:dyDescent="0.25">
      <c r="A15" s="116"/>
      <c r="B15" s="115" t="s">
        <v>33</v>
      </c>
      <c r="C15" s="115"/>
      <c r="D15" s="115"/>
      <c r="E15" s="86">
        <f t="shared" si="0"/>
        <v>114.757717146263</v>
      </c>
      <c r="F15" s="86"/>
      <c r="G15" s="86">
        <v>114.757717146263</v>
      </c>
      <c r="H15" s="86">
        <f t="shared" si="1"/>
        <v>27.549049999999994</v>
      </c>
      <c r="I15" s="86"/>
      <c r="J15" s="86">
        <v>27.549049999999994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spans="1:20" ht="41.25" customHeight="1" x14ac:dyDescent="0.25">
      <c r="A16" s="116"/>
      <c r="B16" s="115" t="s">
        <v>34</v>
      </c>
      <c r="C16" s="115"/>
      <c r="D16" s="115"/>
      <c r="E16" s="86">
        <f t="shared" si="0"/>
        <v>30.928798196327598</v>
      </c>
      <c r="F16" s="86"/>
      <c r="G16" s="86">
        <v>30.928798196327598</v>
      </c>
      <c r="H16" s="86">
        <f t="shared" si="1"/>
        <v>44.375419999999998</v>
      </c>
      <c r="I16" s="86"/>
      <c r="J16" s="86">
        <v>44.375419999999998</v>
      </c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spans="1:20" ht="41.25" customHeight="1" x14ac:dyDescent="0.25">
      <c r="A17" s="116"/>
      <c r="B17" s="115" t="s">
        <v>218</v>
      </c>
      <c r="C17" s="115"/>
      <c r="D17" s="115"/>
      <c r="E17" s="86">
        <f>+G17</f>
        <v>29.840993714710301</v>
      </c>
      <c r="F17" s="86"/>
      <c r="G17" s="86">
        <v>29.840993714710301</v>
      </c>
      <c r="H17" s="86"/>
      <c r="I17" s="86"/>
      <c r="J17" s="86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0" ht="41.25" customHeight="1" x14ac:dyDescent="0.25">
      <c r="A18" s="116"/>
      <c r="B18" s="115" t="s">
        <v>155</v>
      </c>
      <c r="C18" s="115"/>
      <c r="D18" s="115"/>
      <c r="E18" s="86">
        <f>+G18</f>
        <v>9.1941305786350203</v>
      </c>
      <c r="F18" s="86"/>
      <c r="G18" s="86">
        <f>9194.13057863502/1000</f>
        <v>9.1941305786350203</v>
      </c>
      <c r="H18" s="86">
        <f>+J18</f>
        <v>25.134840000000001</v>
      </c>
      <c r="I18" s="86"/>
      <c r="J18" s="86">
        <f>25134.84/1000</f>
        <v>25.134840000000001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spans="1:20" ht="99" customHeight="1" x14ac:dyDescent="0.25">
      <c r="A19" s="83" t="s">
        <v>136</v>
      </c>
      <c r="B19" s="84" t="s">
        <v>230</v>
      </c>
      <c r="C19" s="84" t="s">
        <v>231</v>
      </c>
      <c r="D19" s="84"/>
      <c r="E19" s="86">
        <f>+G19</f>
        <v>783.6</v>
      </c>
      <c r="F19" s="74" t="s">
        <v>232</v>
      </c>
      <c r="G19" s="86">
        <f>783600/1000</f>
        <v>783.6</v>
      </c>
      <c r="H19" s="86"/>
      <c r="I19" s="86"/>
      <c r="J19" s="86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spans="1:20" ht="41.25" customHeight="1" x14ac:dyDescent="0.25">
      <c r="A20" s="116" t="s">
        <v>161</v>
      </c>
      <c r="B20" s="115" t="s">
        <v>162</v>
      </c>
      <c r="C20" s="115" t="s">
        <v>163</v>
      </c>
      <c r="D20" s="69"/>
      <c r="E20" s="86">
        <f>+G20</f>
        <v>37.8825</v>
      </c>
      <c r="F20" s="74" t="s">
        <v>209</v>
      </c>
      <c r="G20" s="86">
        <f>37882.5/1000</f>
        <v>37.8825</v>
      </c>
      <c r="H20" s="86">
        <f>+J20</f>
        <v>75.765000000000001</v>
      </c>
      <c r="I20" s="74" t="s">
        <v>193</v>
      </c>
      <c r="J20" s="86">
        <f>75765/1000</f>
        <v>75.765000000000001</v>
      </c>
      <c r="K20" s="33" t="s">
        <v>176</v>
      </c>
      <c r="L20" s="33"/>
      <c r="M20" s="33"/>
      <c r="N20" s="33"/>
      <c r="O20" s="33"/>
      <c r="P20" s="33"/>
      <c r="Q20" s="33"/>
      <c r="R20" s="33"/>
      <c r="S20" s="33"/>
      <c r="T20" s="33"/>
    </row>
    <row r="21" spans="1:20" ht="41.25" customHeight="1" x14ac:dyDescent="0.25">
      <c r="A21" s="116"/>
      <c r="B21" s="115"/>
      <c r="C21" s="115"/>
      <c r="D21" s="69"/>
      <c r="E21" s="86">
        <v>37.8825</v>
      </c>
      <c r="F21" s="74" t="s">
        <v>164</v>
      </c>
      <c r="G21" s="86">
        <v>37.8825</v>
      </c>
      <c r="H21" s="21"/>
      <c r="I21" s="21"/>
      <c r="J21" s="21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spans="1:20" ht="34.5" customHeight="1" x14ac:dyDescent="0.25">
      <c r="A22" s="118" t="s">
        <v>51</v>
      </c>
      <c r="B22" s="115" t="s">
        <v>28</v>
      </c>
      <c r="C22" s="115"/>
      <c r="D22" s="115"/>
      <c r="E22" s="86">
        <f t="shared" si="0"/>
        <v>8.8067282809611811</v>
      </c>
      <c r="F22" s="86"/>
      <c r="G22" s="86">
        <v>8.8067282809611811</v>
      </c>
      <c r="H22" s="86">
        <f t="shared" si="1"/>
        <v>38.770589999999999</v>
      </c>
      <c r="I22" s="86"/>
      <c r="J22" s="86">
        <v>38.770589999999999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34.5" customHeight="1" x14ac:dyDescent="0.25">
      <c r="A23" s="118"/>
      <c r="B23" s="115" t="s">
        <v>33</v>
      </c>
      <c r="C23" s="115"/>
      <c r="D23" s="115"/>
      <c r="E23" s="86">
        <f t="shared" si="0"/>
        <v>36.909959906847696</v>
      </c>
      <c r="F23" s="86"/>
      <c r="G23" s="86">
        <v>36.909959906847696</v>
      </c>
      <c r="H23" s="86">
        <f t="shared" si="1"/>
        <v>17.154959999999999</v>
      </c>
      <c r="I23" s="86"/>
      <c r="J23" s="86">
        <v>17.154959999999999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1:20" ht="34.5" customHeight="1" x14ac:dyDescent="0.25">
      <c r="A24" s="118"/>
      <c r="B24" s="115" t="s">
        <v>34</v>
      </c>
      <c r="C24" s="115"/>
      <c r="D24" s="115"/>
      <c r="E24" s="86">
        <f t="shared" si="0"/>
        <v>23.1836243381941</v>
      </c>
      <c r="F24" s="86"/>
      <c r="G24" s="86">
        <v>23.1836243381941</v>
      </c>
      <c r="H24" s="86">
        <f t="shared" si="1"/>
        <v>39.613589999999995</v>
      </c>
      <c r="I24" s="86"/>
      <c r="J24" s="86">
        <v>39.613589999999995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1:20" ht="34.5" customHeight="1" x14ac:dyDescent="0.25">
      <c r="A25" s="118"/>
      <c r="B25" s="115" t="s">
        <v>218</v>
      </c>
      <c r="C25" s="115"/>
      <c r="D25" s="115"/>
      <c r="E25" s="86">
        <f>+G25</f>
        <v>30.5575668302202</v>
      </c>
      <c r="F25" s="86"/>
      <c r="G25" s="86">
        <f>30557.5668302202/1000</f>
        <v>30.5575668302202</v>
      </c>
      <c r="H25" s="86">
        <f>+J25</f>
        <v>10.103209999999999</v>
      </c>
      <c r="I25" s="86"/>
      <c r="J25" s="86">
        <f>10103.21/1000</f>
        <v>10.103209999999999</v>
      </c>
      <c r="K25" s="33"/>
      <c r="L25" s="33"/>
      <c r="M25" s="33"/>
      <c r="N25" s="33"/>
      <c r="O25" s="33"/>
      <c r="P25" s="33"/>
      <c r="Q25" s="33"/>
      <c r="R25" s="33"/>
      <c r="S25" s="33"/>
      <c r="T25" s="33"/>
    </row>
    <row r="26" spans="1:20" ht="34.5" customHeight="1" x14ac:dyDescent="0.25">
      <c r="A26" s="118"/>
      <c r="B26" s="115" t="s">
        <v>178</v>
      </c>
      <c r="C26" s="115"/>
      <c r="D26" s="115"/>
      <c r="E26" s="86">
        <f>+G26</f>
        <v>6.1844706437768204</v>
      </c>
      <c r="F26" s="86"/>
      <c r="G26" s="86">
        <f>6184.47064377682/1000</f>
        <v>6.1844706437768204</v>
      </c>
      <c r="H26" s="86"/>
      <c r="I26" s="86"/>
      <c r="J26" s="86"/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spans="1:20" ht="45" customHeight="1" x14ac:dyDescent="0.25">
      <c r="A27" s="118" t="s">
        <v>31</v>
      </c>
      <c r="B27" s="115" t="s">
        <v>46</v>
      </c>
      <c r="C27" s="115" t="s">
        <v>47</v>
      </c>
      <c r="D27" s="86">
        <v>4250</v>
      </c>
      <c r="E27" s="86">
        <f>+G27</f>
        <v>2982.47073</v>
      </c>
      <c r="F27" s="74" t="s">
        <v>139</v>
      </c>
      <c r="G27" s="86">
        <f>2982470.73/1000</f>
        <v>2982.47073</v>
      </c>
      <c r="H27" s="86">
        <f>J27</f>
        <v>89.208528000000001</v>
      </c>
      <c r="I27" s="87" t="s">
        <v>121</v>
      </c>
      <c r="J27" s="86">
        <f>74340.44*1.2/1000</f>
        <v>89.208528000000001</v>
      </c>
      <c r="K27" s="33"/>
      <c r="L27" s="33"/>
      <c r="M27" s="33"/>
      <c r="N27" s="33"/>
      <c r="O27" s="33"/>
      <c r="P27" s="33"/>
      <c r="Q27" s="33"/>
      <c r="R27" s="33"/>
      <c r="S27" s="33"/>
      <c r="T27" s="33"/>
    </row>
    <row r="28" spans="1:20" ht="45" customHeight="1" x14ac:dyDescent="0.25">
      <c r="A28" s="118"/>
      <c r="B28" s="115"/>
      <c r="C28" s="115"/>
      <c r="D28" s="86"/>
      <c r="E28" s="86">
        <f>+G28</f>
        <v>42.479150000000004</v>
      </c>
      <c r="F28" s="74" t="s">
        <v>138</v>
      </c>
      <c r="G28" s="86">
        <f>42479.15/1000</f>
        <v>42.479150000000004</v>
      </c>
      <c r="H28" s="86">
        <f>+J28</f>
        <v>2780.878056</v>
      </c>
      <c r="I28" s="87" t="s">
        <v>222</v>
      </c>
      <c r="J28" s="86">
        <f>2317398.38/1000*1.2</f>
        <v>2780.878056</v>
      </c>
      <c r="K28" s="33"/>
      <c r="L28" s="33"/>
      <c r="M28" s="33"/>
      <c r="N28" s="33"/>
      <c r="O28" s="33"/>
      <c r="P28" s="33"/>
      <c r="Q28" s="33"/>
      <c r="R28" s="33"/>
      <c r="S28" s="33"/>
      <c r="T28" s="33"/>
    </row>
    <row r="29" spans="1:20" ht="45" customHeight="1" x14ac:dyDescent="0.25">
      <c r="A29" s="118"/>
      <c r="B29" s="115"/>
      <c r="C29" s="115"/>
      <c r="D29" s="86"/>
      <c r="E29" s="86"/>
      <c r="F29" s="74"/>
      <c r="G29" s="86"/>
      <c r="H29" s="86">
        <f>+J29</f>
        <v>42.479148000000002</v>
      </c>
      <c r="I29" s="87" t="s">
        <v>221</v>
      </c>
      <c r="J29" s="86">
        <f>35399.29/1000*1.2</f>
        <v>42.479148000000002</v>
      </c>
      <c r="K29" s="33"/>
      <c r="L29" s="33"/>
      <c r="M29" s="33"/>
      <c r="N29" s="33"/>
      <c r="O29" s="33"/>
      <c r="P29" s="33"/>
      <c r="Q29" s="33"/>
      <c r="R29" s="33"/>
      <c r="S29" s="33"/>
      <c r="T29" s="33"/>
    </row>
    <row r="30" spans="1:20" ht="45" customHeight="1" x14ac:dyDescent="0.25">
      <c r="A30" s="118"/>
      <c r="B30" s="115"/>
      <c r="C30" s="115"/>
      <c r="D30" s="86"/>
      <c r="E30" s="86"/>
      <c r="F30" s="74"/>
      <c r="G30" s="86"/>
      <c r="H30" s="86">
        <f>+J30</f>
        <v>1038.02262</v>
      </c>
      <c r="I30" s="87" t="s">
        <v>220</v>
      </c>
      <c r="J30" s="86">
        <f>865018.85/1000*1.2</f>
        <v>1038.02262</v>
      </c>
      <c r="K30" s="33"/>
      <c r="L30" s="33"/>
      <c r="M30" s="33"/>
      <c r="N30" s="33"/>
      <c r="O30" s="33"/>
      <c r="P30" s="33"/>
      <c r="Q30" s="33"/>
      <c r="R30" s="33"/>
      <c r="S30" s="33"/>
      <c r="T30" s="33"/>
    </row>
    <row r="31" spans="1:20" ht="45" customHeight="1" x14ac:dyDescent="0.25">
      <c r="A31" s="118"/>
      <c r="B31" s="115"/>
      <c r="C31" s="115"/>
      <c r="D31" s="86"/>
      <c r="E31" s="86"/>
      <c r="F31" s="74"/>
      <c r="G31" s="86"/>
      <c r="H31" s="86">
        <f>+J31</f>
        <v>116.465352</v>
      </c>
      <c r="I31" s="87" t="s">
        <v>194</v>
      </c>
      <c r="J31" s="86">
        <f>97054.46*1.2/1000</f>
        <v>116.465352</v>
      </c>
      <c r="K31" s="33"/>
      <c r="L31" s="33"/>
      <c r="M31" s="33"/>
      <c r="N31" s="33"/>
      <c r="O31" s="33"/>
      <c r="P31" s="33"/>
      <c r="Q31" s="33"/>
      <c r="R31" s="33"/>
      <c r="S31" s="33"/>
      <c r="T31" s="33"/>
    </row>
    <row r="32" spans="1:20" ht="45" customHeight="1" x14ac:dyDescent="0.25">
      <c r="A32" s="118"/>
      <c r="B32" s="84" t="s">
        <v>147</v>
      </c>
      <c r="C32" s="84" t="s">
        <v>150</v>
      </c>
      <c r="D32" s="86"/>
      <c r="E32" s="86">
        <f>+G32</f>
        <v>287.14290999999997</v>
      </c>
      <c r="F32" s="74" t="s">
        <v>170</v>
      </c>
      <c r="G32" s="86">
        <f>287142.91/1000</f>
        <v>287.14290999999997</v>
      </c>
      <c r="H32" s="86"/>
      <c r="I32" s="87"/>
      <c r="J32" s="86"/>
      <c r="K32" s="33"/>
      <c r="L32" s="33"/>
      <c r="M32" s="33"/>
      <c r="N32" s="33"/>
      <c r="O32" s="33"/>
      <c r="P32" s="33"/>
      <c r="Q32" s="33"/>
      <c r="R32" s="33"/>
      <c r="S32" s="33"/>
      <c r="T32" s="33"/>
    </row>
    <row r="33" spans="1:20" ht="33.75" customHeight="1" x14ac:dyDescent="0.25">
      <c r="A33" s="118"/>
      <c r="B33" s="118" t="s">
        <v>71</v>
      </c>
      <c r="C33" s="118"/>
      <c r="D33" s="118"/>
      <c r="E33" s="77"/>
      <c r="F33" s="77"/>
      <c r="G33" s="77"/>
      <c r="H33" s="75">
        <f t="shared" ref="H33" si="2">J33</f>
        <v>6.8365080000000003</v>
      </c>
      <c r="I33" s="76" t="s">
        <v>70</v>
      </c>
      <c r="J33" s="75">
        <f>5697.09*1.2/1000</f>
        <v>6.8365080000000003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</row>
    <row r="34" spans="1:20" ht="71.25" customHeight="1" x14ac:dyDescent="0.25">
      <c r="A34" s="118" t="s">
        <v>106</v>
      </c>
      <c r="B34" s="87" t="s">
        <v>107</v>
      </c>
      <c r="C34" s="87" t="s">
        <v>108</v>
      </c>
      <c r="D34" s="85">
        <f>237492.5/1000</f>
        <v>237.49250000000001</v>
      </c>
      <c r="E34" s="86">
        <f>G34</f>
        <v>237.49250000000001</v>
      </c>
      <c r="F34" s="74" t="s">
        <v>114</v>
      </c>
      <c r="G34" s="86">
        <f>237492.5/1000</f>
        <v>237.49250000000001</v>
      </c>
      <c r="H34" s="75">
        <f>J34</f>
        <v>237.49250400000003</v>
      </c>
      <c r="I34" s="76" t="s">
        <v>126</v>
      </c>
      <c r="J34" s="75">
        <f>197910.42*1.2/1000</f>
        <v>237.49250400000003</v>
      </c>
      <c r="K34" s="33"/>
      <c r="L34" s="33"/>
      <c r="M34" s="33"/>
      <c r="N34" s="33"/>
      <c r="O34" s="33"/>
      <c r="P34" s="33"/>
      <c r="Q34" s="33"/>
      <c r="R34" s="33"/>
      <c r="S34" s="33"/>
      <c r="T34" s="33"/>
    </row>
    <row r="35" spans="1:20" ht="71.25" customHeight="1" x14ac:dyDescent="0.25">
      <c r="A35" s="118"/>
      <c r="B35" s="87" t="s">
        <v>147</v>
      </c>
      <c r="C35" s="87" t="s">
        <v>153</v>
      </c>
      <c r="D35" s="85"/>
      <c r="E35" s="86">
        <f>+G35</f>
        <v>2382.7440000000001</v>
      </c>
      <c r="F35" s="74" t="s">
        <v>152</v>
      </c>
      <c r="G35" s="86">
        <f>2382744/1000</f>
        <v>2382.7440000000001</v>
      </c>
      <c r="H35" s="75"/>
      <c r="I35" s="76"/>
      <c r="J35" s="75"/>
      <c r="K35" s="33"/>
      <c r="L35" s="33"/>
      <c r="M35" s="33"/>
      <c r="N35" s="33"/>
      <c r="O35" s="33"/>
      <c r="P35" s="33"/>
      <c r="Q35" s="33"/>
      <c r="R35" s="33"/>
      <c r="S35" s="33"/>
      <c r="T35" s="33"/>
    </row>
    <row r="36" spans="1:20" ht="71.25" customHeight="1" x14ac:dyDescent="0.25">
      <c r="A36" s="118"/>
      <c r="B36" s="84" t="s">
        <v>111</v>
      </c>
      <c r="C36" s="84" t="s">
        <v>112</v>
      </c>
      <c r="D36" s="85"/>
      <c r="E36" s="86">
        <f>+G36</f>
        <v>335.0138</v>
      </c>
      <c r="F36" s="74" t="s">
        <v>154</v>
      </c>
      <c r="G36" s="86">
        <f>335013.8/1000</f>
        <v>335.0138</v>
      </c>
      <c r="H36" s="75"/>
      <c r="I36" s="76"/>
      <c r="J36" s="75"/>
      <c r="K36" s="33"/>
      <c r="L36" s="33"/>
      <c r="M36" s="33"/>
      <c r="N36" s="33"/>
      <c r="O36" s="33"/>
      <c r="P36" s="33"/>
      <c r="Q36" s="33"/>
      <c r="R36" s="33"/>
      <c r="S36" s="33"/>
      <c r="T36" s="33"/>
    </row>
    <row r="37" spans="1:20" ht="47.25" customHeight="1" x14ac:dyDescent="0.25">
      <c r="A37" s="118" t="s">
        <v>199</v>
      </c>
      <c r="B37" s="115" t="s">
        <v>200</v>
      </c>
      <c r="C37" s="115" t="s">
        <v>201</v>
      </c>
      <c r="D37" s="117">
        <v>133.19999999999999</v>
      </c>
      <c r="E37" s="86">
        <f>+G37</f>
        <v>96.943789999999993</v>
      </c>
      <c r="F37" s="74" t="s">
        <v>202</v>
      </c>
      <c r="G37" s="86">
        <f>96943.79/1000</f>
        <v>96.943789999999993</v>
      </c>
      <c r="H37" s="75"/>
      <c r="I37" s="76"/>
      <c r="J37" s="75"/>
      <c r="K37" s="33"/>
      <c r="L37" s="33"/>
      <c r="M37" s="33"/>
      <c r="N37" s="33"/>
      <c r="O37" s="33"/>
      <c r="P37" s="33"/>
      <c r="Q37" s="33"/>
      <c r="R37" s="33"/>
      <c r="S37" s="33"/>
      <c r="T37" s="33"/>
    </row>
    <row r="38" spans="1:20" ht="45" customHeight="1" x14ac:dyDescent="0.25">
      <c r="A38" s="118"/>
      <c r="B38" s="115"/>
      <c r="C38" s="115"/>
      <c r="D38" s="117"/>
      <c r="E38" s="86">
        <f>+G38</f>
        <v>36.256129999999999</v>
      </c>
      <c r="F38" s="74" t="s">
        <v>203</v>
      </c>
      <c r="G38" s="86">
        <f>36256.13/1000</f>
        <v>36.256129999999999</v>
      </c>
      <c r="H38" s="75"/>
      <c r="I38" s="76"/>
      <c r="J38" s="75"/>
      <c r="K38" s="33"/>
      <c r="L38" s="33"/>
      <c r="M38" s="33"/>
      <c r="N38" s="33"/>
      <c r="O38" s="33"/>
      <c r="P38" s="33"/>
      <c r="Q38" s="33"/>
      <c r="R38" s="33"/>
      <c r="S38" s="33"/>
      <c r="T38" s="33"/>
    </row>
    <row r="39" spans="1:20" ht="42" customHeight="1" x14ac:dyDescent="0.25">
      <c r="A39" s="121" t="s">
        <v>52</v>
      </c>
      <c r="B39" s="119" t="s">
        <v>28</v>
      </c>
      <c r="C39" s="119"/>
      <c r="D39" s="119"/>
      <c r="E39" s="21">
        <f t="shared" ref="E39:E71" si="3">G39</f>
        <v>10.175792975970401</v>
      </c>
      <c r="F39" s="21"/>
      <c r="G39" s="21">
        <v>10.175792975970401</v>
      </c>
      <c r="H39" s="21">
        <f t="shared" ref="H39:H71" si="4">J39</f>
        <v>44.797719999999998</v>
      </c>
      <c r="I39" s="21"/>
      <c r="J39" s="21">
        <v>44.797719999999998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</row>
    <row r="40" spans="1:20" ht="42" customHeight="1" x14ac:dyDescent="0.25">
      <c r="A40" s="121"/>
      <c r="B40" s="119" t="s">
        <v>33</v>
      </c>
      <c r="C40" s="119"/>
      <c r="D40" s="119"/>
      <c r="E40" s="21">
        <f t="shared" si="3"/>
        <v>34.621927024029603</v>
      </c>
      <c r="F40" s="21"/>
      <c r="G40" s="21">
        <v>34.621927024029603</v>
      </c>
      <c r="H40" s="21"/>
      <c r="I40" s="21"/>
      <c r="J40" s="21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 ht="31.5" customHeight="1" x14ac:dyDescent="0.25">
      <c r="A41" s="116" t="s">
        <v>53</v>
      </c>
      <c r="B41" s="115" t="s">
        <v>28</v>
      </c>
      <c r="C41" s="115"/>
      <c r="D41" s="115"/>
      <c r="E41" s="86">
        <f t="shared" si="3"/>
        <v>10.068495378927901</v>
      </c>
      <c r="F41" s="86"/>
      <c r="G41" s="86">
        <v>10.068495378927901</v>
      </c>
      <c r="H41" s="86">
        <f t="shared" si="4"/>
        <v>44.325309999999995</v>
      </c>
      <c r="I41" s="86"/>
      <c r="J41" s="86">
        <v>44.325309999999995</v>
      </c>
      <c r="K41" s="33"/>
      <c r="L41" s="33"/>
      <c r="M41" s="33"/>
      <c r="N41" s="33"/>
      <c r="O41" s="33"/>
      <c r="P41" s="33"/>
      <c r="Q41" s="33"/>
      <c r="R41" s="33"/>
      <c r="S41" s="33"/>
      <c r="T41" s="33"/>
    </row>
    <row r="42" spans="1:20" ht="30" customHeight="1" x14ac:dyDescent="0.25">
      <c r="A42" s="116"/>
      <c r="B42" s="115" t="s">
        <v>33</v>
      </c>
      <c r="C42" s="115"/>
      <c r="D42" s="115"/>
      <c r="E42" s="86">
        <f t="shared" si="3"/>
        <v>70.798010008222008</v>
      </c>
      <c r="F42" s="86"/>
      <c r="G42" s="86">
        <v>70.798010008222008</v>
      </c>
      <c r="H42" s="86">
        <f t="shared" si="4"/>
        <v>90.246870000000001</v>
      </c>
      <c r="I42" s="86"/>
      <c r="J42" s="86">
        <v>90.246870000000001</v>
      </c>
      <c r="K42" s="33"/>
      <c r="L42" s="33"/>
      <c r="M42" s="33"/>
      <c r="N42" s="33"/>
      <c r="O42" s="33"/>
      <c r="P42" s="33"/>
      <c r="Q42" s="33"/>
      <c r="R42" s="33"/>
      <c r="S42" s="33"/>
      <c r="T42" s="33"/>
    </row>
    <row r="43" spans="1:20" ht="31.5" customHeight="1" x14ac:dyDescent="0.25">
      <c r="A43" s="116"/>
      <c r="B43" s="115" t="s">
        <v>34</v>
      </c>
      <c r="C43" s="115"/>
      <c r="D43" s="115"/>
      <c r="E43" s="86">
        <f t="shared" si="3"/>
        <v>74.430999999999997</v>
      </c>
      <c r="F43" s="86"/>
      <c r="G43" s="86">
        <v>74.430999999999997</v>
      </c>
      <c r="H43" s="86">
        <f t="shared" si="4"/>
        <v>63.277610000000003</v>
      </c>
      <c r="I43" s="86"/>
      <c r="J43" s="86">
        <v>63.277610000000003</v>
      </c>
      <c r="K43" s="33"/>
      <c r="L43" s="33"/>
      <c r="M43" s="33"/>
      <c r="N43" s="33"/>
      <c r="O43" s="33"/>
      <c r="P43" s="33"/>
      <c r="Q43" s="33"/>
      <c r="R43" s="33"/>
      <c r="S43" s="33"/>
      <c r="T43" s="33"/>
    </row>
    <row r="44" spans="1:20" ht="31.5" customHeight="1" x14ac:dyDescent="0.25">
      <c r="A44" s="116"/>
      <c r="B44" s="115" t="s">
        <v>218</v>
      </c>
      <c r="C44" s="115"/>
      <c r="D44" s="115"/>
      <c r="E44" s="86">
        <f>+G44</f>
        <v>48.386751698138099</v>
      </c>
      <c r="F44" s="86"/>
      <c r="G44" s="86">
        <f>48386.7516981381/1000</f>
        <v>48.386751698138099</v>
      </c>
      <c r="H44" s="86">
        <f>+J44</f>
        <v>15.04283</v>
      </c>
      <c r="I44" s="86"/>
      <c r="J44" s="86">
        <f>15042.83/1000</f>
        <v>15.04283</v>
      </c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1:20" ht="31.5" customHeight="1" x14ac:dyDescent="0.25">
      <c r="A45" s="116"/>
      <c r="B45" s="115" t="s">
        <v>178</v>
      </c>
      <c r="C45" s="115"/>
      <c r="D45" s="115"/>
      <c r="E45" s="86">
        <f>+G45</f>
        <v>15.430785696805501</v>
      </c>
      <c r="F45" s="86"/>
      <c r="G45" s="86">
        <f>15430.7856968055/1000</f>
        <v>15.430785696805501</v>
      </c>
      <c r="H45" s="86">
        <f>+J45</f>
        <v>20.049379999999999</v>
      </c>
      <c r="I45" s="86"/>
      <c r="J45" s="86">
        <f>20049.38/1000</f>
        <v>20.049379999999999</v>
      </c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0" ht="31.5" customHeight="1" x14ac:dyDescent="0.25">
      <c r="A46" s="116"/>
      <c r="B46" s="115" t="s">
        <v>155</v>
      </c>
      <c r="C46" s="115"/>
      <c r="D46" s="115"/>
      <c r="E46" s="86">
        <f>+G46</f>
        <v>21.792538763296498</v>
      </c>
      <c r="F46" s="86"/>
      <c r="G46" s="86">
        <f>21792.5387632965/1000</f>
        <v>21.792538763296498</v>
      </c>
      <c r="H46" s="86">
        <f>+J46</f>
        <v>21.776859999999999</v>
      </c>
      <c r="I46" s="86"/>
      <c r="J46" s="86">
        <f>21776.86/1000</f>
        <v>21.776859999999999</v>
      </c>
      <c r="K46" s="33"/>
      <c r="L46" s="33"/>
      <c r="M46" s="33"/>
      <c r="N46" s="33"/>
      <c r="O46" s="33"/>
      <c r="P46" s="33"/>
      <c r="Q46" s="33"/>
      <c r="R46" s="33"/>
      <c r="S46" s="33"/>
      <c r="T46" s="33"/>
    </row>
    <row r="47" spans="1:20" ht="29.25" customHeight="1" x14ac:dyDescent="0.25">
      <c r="A47" s="116" t="s">
        <v>54</v>
      </c>
      <c r="B47" s="115" t="s">
        <v>28</v>
      </c>
      <c r="C47" s="115"/>
      <c r="D47" s="115"/>
      <c r="E47" s="86">
        <f t="shared" si="3"/>
        <v>1.69219075785582</v>
      </c>
      <c r="F47" s="86"/>
      <c r="G47" s="86">
        <v>1.69219075785582</v>
      </c>
      <c r="H47" s="86">
        <f t="shared" si="4"/>
        <v>7.4496399999999996</v>
      </c>
      <c r="I47" s="86"/>
      <c r="J47" s="86">
        <v>7.4496399999999996</v>
      </c>
      <c r="K47" s="33"/>
      <c r="L47" s="33"/>
      <c r="M47" s="33"/>
      <c r="N47" s="33"/>
      <c r="O47" s="33"/>
      <c r="P47" s="33"/>
      <c r="Q47" s="33"/>
      <c r="R47" s="33"/>
      <c r="S47" s="33"/>
      <c r="T47" s="33"/>
    </row>
    <row r="48" spans="1:20" ht="31.5" customHeight="1" x14ac:dyDescent="0.25">
      <c r="A48" s="116"/>
      <c r="B48" s="115" t="s">
        <v>33</v>
      </c>
      <c r="C48" s="115"/>
      <c r="D48" s="115"/>
      <c r="E48" s="86">
        <f t="shared" si="3"/>
        <v>8.3425578747636102</v>
      </c>
      <c r="F48" s="86"/>
      <c r="G48" s="86">
        <v>8.3425578747636102</v>
      </c>
      <c r="H48" s="86">
        <f t="shared" si="4"/>
        <v>6.3844899999999996</v>
      </c>
      <c r="I48" s="86"/>
      <c r="J48" s="86">
        <v>6.3844899999999996</v>
      </c>
      <c r="K48" s="33"/>
      <c r="L48" s="33"/>
      <c r="M48" s="33"/>
      <c r="N48" s="33"/>
      <c r="O48" s="33"/>
      <c r="P48" s="33"/>
      <c r="Q48" s="33"/>
      <c r="R48" s="33"/>
      <c r="S48" s="33"/>
      <c r="T48" s="33"/>
    </row>
    <row r="49" spans="1:20" ht="24.75" customHeight="1" x14ac:dyDescent="0.25">
      <c r="A49" s="116"/>
      <c r="B49" s="115" t="s">
        <v>34</v>
      </c>
      <c r="C49" s="115"/>
      <c r="D49" s="115"/>
      <c r="E49" s="86">
        <f t="shared" si="3"/>
        <v>8.10798353677135</v>
      </c>
      <c r="F49" s="86"/>
      <c r="G49" s="86">
        <v>8.10798353677135</v>
      </c>
      <c r="H49" s="86">
        <f t="shared" si="4"/>
        <v>13.154620000000001</v>
      </c>
      <c r="I49" s="86"/>
      <c r="J49" s="86">
        <v>13.154620000000001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</row>
    <row r="50" spans="1:20" ht="24.75" customHeight="1" x14ac:dyDescent="0.25">
      <c r="A50" s="116"/>
      <c r="B50" s="115" t="s">
        <v>218</v>
      </c>
      <c r="C50" s="115"/>
      <c r="D50" s="115"/>
      <c r="E50" s="86">
        <f>+G50</f>
        <v>13.709443567376001</v>
      </c>
      <c r="F50" s="86"/>
      <c r="G50" s="86">
        <f>13709.443567376/1000</f>
        <v>13.709443567376001</v>
      </c>
      <c r="H50" s="86">
        <f>+J50</f>
        <v>12.5387</v>
      </c>
      <c r="I50" s="86"/>
      <c r="J50" s="86">
        <f>12538.7/1000</f>
        <v>12.5387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1:20" ht="24.75" customHeight="1" x14ac:dyDescent="0.25">
      <c r="A51" s="116"/>
      <c r="B51" s="115" t="s">
        <v>178</v>
      </c>
      <c r="C51" s="115"/>
      <c r="D51" s="115"/>
      <c r="E51" s="86">
        <f>+G51</f>
        <v>7.6753342632331893</v>
      </c>
      <c r="F51" s="86"/>
      <c r="G51" s="86">
        <f>7675.33426323319/1000</f>
        <v>7.6753342632331893</v>
      </c>
      <c r="H51" s="91"/>
      <c r="I51" s="91"/>
      <c r="J51" s="91"/>
      <c r="K51" s="33"/>
      <c r="L51" s="33"/>
      <c r="M51" s="33"/>
      <c r="N51" s="33"/>
      <c r="O51" s="33"/>
      <c r="P51" s="33"/>
      <c r="Q51" s="33"/>
      <c r="R51" s="33"/>
      <c r="S51" s="33"/>
      <c r="T51" s="33"/>
    </row>
    <row r="52" spans="1:20" ht="24.75" customHeight="1" x14ac:dyDescent="0.25">
      <c r="A52" s="116" t="s">
        <v>55</v>
      </c>
      <c r="B52" s="115" t="s">
        <v>28</v>
      </c>
      <c r="C52" s="115"/>
      <c r="D52" s="115"/>
      <c r="E52" s="86">
        <f t="shared" si="3"/>
        <v>10.286817005545299</v>
      </c>
      <c r="F52" s="86"/>
      <c r="G52" s="86">
        <v>10.286817005545299</v>
      </c>
      <c r="H52" s="86">
        <f t="shared" si="4"/>
        <v>45.286480000000005</v>
      </c>
      <c r="I52" s="86"/>
      <c r="J52" s="86">
        <v>45.286480000000005</v>
      </c>
      <c r="K52" s="33"/>
      <c r="L52" s="33"/>
      <c r="M52" s="33"/>
      <c r="N52" s="33"/>
      <c r="O52" s="33"/>
      <c r="P52" s="33"/>
      <c r="Q52" s="33"/>
      <c r="R52" s="33"/>
      <c r="S52" s="33"/>
      <c r="T52" s="33"/>
    </row>
    <row r="53" spans="1:20" ht="24.75" customHeight="1" x14ac:dyDescent="0.25">
      <c r="A53" s="116"/>
      <c r="B53" s="115" t="s">
        <v>33</v>
      </c>
      <c r="C53" s="115"/>
      <c r="D53" s="115"/>
      <c r="E53" s="86">
        <f t="shared" si="3"/>
        <v>71.722973702856706</v>
      </c>
      <c r="F53" s="86"/>
      <c r="G53" s="86">
        <v>71.722973702856706</v>
      </c>
      <c r="H53" s="86">
        <f t="shared" si="4"/>
        <v>90.696619999999996</v>
      </c>
      <c r="I53" s="86"/>
      <c r="J53" s="86">
        <v>90.696619999999996</v>
      </c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1:20" ht="24.75" customHeight="1" x14ac:dyDescent="0.25">
      <c r="A54" s="116"/>
      <c r="B54" s="115" t="s">
        <v>34</v>
      </c>
      <c r="C54" s="115"/>
      <c r="D54" s="115"/>
      <c r="E54" s="86">
        <f t="shared" si="3"/>
        <v>85.848936572430105</v>
      </c>
      <c r="F54" s="86"/>
      <c r="G54" s="86">
        <v>85.848936572430105</v>
      </c>
      <c r="H54" s="86">
        <f t="shared" si="4"/>
        <v>97.320220000000006</v>
      </c>
      <c r="I54" s="86"/>
      <c r="J54" s="86">
        <v>97.320220000000006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1:20" ht="24.75" customHeight="1" x14ac:dyDescent="0.25">
      <c r="A55" s="116"/>
      <c r="B55" s="115" t="s">
        <v>218</v>
      </c>
      <c r="C55" s="115"/>
      <c r="D55" s="115"/>
      <c r="E55" s="86">
        <f>+G55</f>
        <v>65.4445927191679</v>
      </c>
      <c r="F55" s="86"/>
      <c r="G55" s="86">
        <f>65444.5927191679/1000</f>
        <v>65.4445927191679</v>
      </c>
      <c r="H55" s="86"/>
      <c r="I55" s="86"/>
      <c r="J55" s="86"/>
      <c r="K55" s="33"/>
      <c r="L55" s="33"/>
      <c r="M55" s="33"/>
      <c r="N55" s="33"/>
      <c r="O55" s="33"/>
      <c r="P55" s="33"/>
      <c r="Q55" s="33"/>
      <c r="R55" s="33"/>
      <c r="S55" s="33"/>
      <c r="T55" s="33"/>
    </row>
    <row r="56" spans="1:20" ht="24.75" customHeight="1" x14ac:dyDescent="0.25">
      <c r="A56" s="116" t="s">
        <v>56</v>
      </c>
      <c r="B56" s="115" t="s">
        <v>28</v>
      </c>
      <c r="C56" s="115"/>
      <c r="D56" s="115"/>
      <c r="E56" s="86">
        <f t="shared" si="3"/>
        <v>4.9567822550831799</v>
      </c>
      <c r="F56" s="86"/>
      <c r="G56" s="86">
        <v>4.9567822550831799</v>
      </c>
      <c r="H56" s="86">
        <f t="shared" si="4"/>
        <v>21.821680000000001</v>
      </c>
      <c r="I56" s="86"/>
      <c r="J56" s="86">
        <v>21.821680000000001</v>
      </c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1:20" ht="24.75" customHeight="1" x14ac:dyDescent="0.25">
      <c r="A57" s="116"/>
      <c r="B57" s="115" t="s">
        <v>33</v>
      </c>
      <c r="C57" s="115"/>
      <c r="D57" s="115"/>
      <c r="E57" s="86">
        <f t="shared" si="3"/>
        <v>39.809851945905301</v>
      </c>
      <c r="F57" s="86"/>
      <c r="G57" s="86">
        <v>39.809851945905301</v>
      </c>
      <c r="H57" s="86">
        <f t="shared" si="4"/>
        <v>56.667769999999997</v>
      </c>
      <c r="I57" s="86"/>
      <c r="J57" s="86">
        <v>56.667769999999997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20" ht="24.75" customHeight="1" x14ac:dyDescent="0.25">
      <c r="A58" s="116"/>
      <c r="B58" s="115" t="s">
        <v>34</v>
      </c>
      <c r="C58" s="115"/>
      <c r="D58" s="115"/>
      <c r="E58" s="86">
        <f t="shared" si="3"/>
        <v>52.9663619654306</v>
      </c>
      <c r="F58" s="86"/>
      <c r="G58" s="86">
        <v>52.9663619654306</v>
      </c>
      <c r="H58" s="86">
        <f t="shared" si="4"/>
        <v>58.752870000000001</v>
      </c>
      <c r="I58" s="86"/>
      <c r="J58" s="86">
        <v>58.752870000000001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</row>
    <row r="59" spans="1:20" ht="24.75" customHeight="1" x14ac:dyDescent="0.25">
      <c r="A59" s="116"/>
      <c r="B59" s="115" t="s">
        <v>218</v>
      </c>
      <c r="C59" s="115"/>
      <c r="D59" s="115"/>
      <c r="E59" s="86">
        <f>+G59</f>
        <v>39.509323833581</v>
      </c>
      <c r="F59" s="86"/>
      <c r="G59" s="86">
        <f>39509.323833581/1000</f>
        <v>39.509323833581</v>
      </c>
      <c r="H59" s="86"/>
      <c r="I59" s="86"/>
      <c r="J59" s="86"/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1:20" ht="24.75" customHeight="1" x14ac:dyDescent="0.25">
      <c r="A60" s="116" t="s">
        <v>57</v>
      </c>
      <c r="B60" s="115" t="s">
        <v>28</v>
      </c>
      <c r="C60" s="115"/>
      <c r="D60" s="115"/>
      <c r="E60" s="86">
        <f t="shared" si="3"/>
        <v>0.98794824399260595</v>
      </c>
      <c r="F60" s="86"/>
      <c r="G60" s="86">
        <v>0.98794824399260595</v>
      </c>
      <c r="H60" s="86">
        <f t="shared" si="4"/>
        <v>4.3493300000000001</v>
      </c>
      <c r="I60" s="86"/>
      <c r="J60" s="86">
        <v>4.3493300000000001</v>
      </c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1:20" ht="24.75" customHeight="1" x14ac:dyDescent="0.25">
      <c r="A61" s="116"/>
      <c r="B61" s="115" t="s">
        <v>33</v>
      </c>
      <c r="C61" s="115"/>
      <c r="D61" s="115"/>
      <c r="E61" s="86">
        <f t="shared" si="3"/>
        <v>9.2671056439810311</v>
      </c>
      <c r="F61" s="86"/>
      <c r="G61" s="86">
        <v>9.2671056439810311</v>
      </c>
      <c r="H61" s="86">
        <f t="shared" si="4"/>
        <v>14.58553</v>
      </c>
      <c r="I61" s="86"/>
      <c r="J61" s="86">
        <v>14.58553</v>
      </c>
      <c r="K61" s="33"/>
      <c r="L61" s="33"/>
      <c r="M61" s="33"/>
      <c r="N61" s="33"/>
      <c r="O61" s="33"/>
      <c r="P61" s="33"/>
      <c r="Q61" s="33"/>
      <c r="R61" s="33"/>
      <c r="S61" s="33"/>
      <c r="T61" s="33"/>
    </row>
    <row r="62" spans="1:20" ht="24.75" customHeight="1" x14ac:dyDescent="0.25">
      <c r="A62" s="116"/>
      <c r="B62" s="115" t="s">
        <v>34</v>
      </c>
      <c r="C62" s="115"/>
      <c r="D62" s="115"/>
      <c r="E62" s="86">
        <f t="shared" si="3"/>
        <v>8.679806112026359</v>
      </c>
      <c r="F62" s="86"/>
      <c r="G62" s="86">
        <v>8.679806112026359</v>
      </c>
      <c r="H62" s="86"/>
      <c r="I62" s="86"/>
      <c r="J62" s="86"/>
      <c r="K62" s="33"/>
      <c r="L62" s="33"/>
      <c r="M62" s="33"/>
      <c r="N62" s="33"/>
      <c r="O62" s="33"/>
      <c r="P62" s="33"/>
      <c r="Q62" s="33"/>
      <c r="R62" s="33"/>
      <c r="S62" s="33"/>
      <c r="T62" s="33"/>
    </row>
    <row r="63" spans="1:20" ht="24.75" customHeight="1" x14ac:dyDescent="0.25">
      <c r="A63" s="116"/>
      <c r="B63" s="115" t="s">
        <v>218</v>
      </c>
      <c r="C63" s="115"/>
      <c r="D63" s="115"/>
      <c r="E63" s="86">
        <f>+G63</f>
        <v>4.9127196852646602</v>
      </c>
      <c r="F63" s="86"/>
      <c r="G63" s="86">
        <f>4912.71968526466/1000</f>
        <v>4.9127196852646602</v>
      </c>
      <c r="H63" s="86">
        <f>+J63</f>
        <v>12.66587</v>
      </c>
      <c r="I63" s="86"/>
      <c r="J63" s="86">
        <f>12665.87/1000</f>
        <v>12.66587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</row>
    <row r="64" spans="1:20" ht="24.75" customHeight="1" x14ac:dyDescent="0.25">
      <c r="A64" s="116"/>
      <c r="B64" s="115" t="s">
        <v>178</v>
      </c>
      <c r="C64" s="115"/>
      <c r="D64" s="115"/>
      <c r="E64" s="86">
        <f>+G64</f>
        <v>7.7531503147353398</v>
      </c>
      <c r="F64" s="86"/>
      <c r="G64" s="86">
        <f>7753.15031473534/1000</f>
        <v>7.7531503147353398</v>
      </c>
      <c r="H64" s="86"/>
      <c r="I64" s="86"/>
      <c r="J64" s="86"/>
      <c r="K64" s="33"/>
      <c r="L64" s="33"/>
      <c r="M64" s="33"/>
      <c r="N64" s="33"/>
      <c r="O64" s="33"/>
      <c r="P64" s="33"/>
      <c r="Q64" s="33"/>
      <c r="R64" s="33"/>
      <c r="S64" s="33"/>
      <c r="T64" s="33"/>
    </row>
    <row r="65" spans="1:20" ht="24.75" customHeight="1" x14ac:dyDescent="0.25">
      <c r="A65" s="116" t="s">
        <v>58</v>
      </c>
      <c r="B65" s="115" t="s">
        <v>28</v>
      </c>
      <c r="C65" s="115"/>
      <c r="D65" s="115"/>
      <c r="E65" s="86">
        <f t="shared" si="3"/>
        <v>0.76701811460258795</v>
      </c>
      <c r="F65" s="86"/>
      <c r="G65" s="86">
        <v>0.76701811460258795</v>
      </c>
      <c r="H65" s="86">
        <f t="shared" si="4"/>
        <v>3.3767</v>
      </c>
      <c r="I65" s="86"/>
      <c r="J65" s="86">
        <v>3.3767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1:20" ht="24.75" customHeight="1" x14ac:dyDescent="0.25">
      <c r="A66" s="116"/>
      <c r="B66" s="115" t="s">
        <v>33</v>
      </c>
      <c r="C66" s="115"/>
      <c r="D66" s="115"/>
      <c r="E66" s="86">
        <f t="shared" si="3"/>
        <v>38.840856844211302</v>
      </c>
      <c r="F66" s="86"/>
      <c r="G66" s="86">
        <v>38.840856844211302</v>
      </c>
      <c r="H66" s="86">
        <f t="shared" si="4"/>
        <v>89.48124</v>
      </c>
      <c r="I66" s="86"/>
      <c r="J66" s="86">
        <v>89.48124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1:20" ht="24.75" customHeight="1" x14ac:dyDescent="0.25">
      <c r="A67" s="116"/>
      <c r="B67" s="115" t="s">
        <v>34</v>
      </c>
      <c r="C67" s="115"/>
      <c r="D67" s="115"/>
      <c r="E67" s="86">
        <f t="shared" si="3"/>
        <v>85.789545070903799</v>
      </c>
      <c r="F67" s="86"/>
      <c r="G67" s="86">
        <v>85.789545070903799</v>
      </c>
      <c r="H67" s="86">
        <f t="shared" si="4"/>
        <v>99.347009999999997</v>
      </c>
      <c r="I67" s="86"/>
      <c r="J67" s="86">
        <v>99.347009999999997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1:20" ht="24.75" customHeight="1" x14ac:dyDescent="0.25">
      <c r="A68" s="116"/>
      <c r="B68" s="115" t="s">
        <v>218</v>
      </c>
      <c r="C68" s="115"/>
      <c r="D68" s="115"/>
      <c r="E68" s="86">
        <f>+G68</f>
        <v>66.807529970282289</v>
      </c>
      <c r="F68" s="86"/>
      <c r="G68" s="86">
        <f>66807.5299702823/1000</f>
        <v>66.807529970282289</v>
      </c>
      <c r="H68" s="86"/>
      <c r="I68" s="86"/>
      <c r="J68" s="86"/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1:20" ht="24.75" customHeight="1" x14ac:dyDescent="0.25">
      <c r="A69" s="116" t="s">
        <v>59</v>
      </c>
      <c r="B69" s="115" t="s">
        <v>28</v>
      </c>
      <c r="C69" s="115"/>
      <c r="D69" s="115"/>
      <c r="E69" s="86">
        <f t="shared" si="3"/>
        <v>9.92358743068392</v>
      </c>
      <c r="F69" s="86"/>
      <c r="G69" s="86">
        <v>9.92358743068392</v>
      </c>
      <c r="H69" s="86">
        <f t="shared" si="4"/>
        <v>43.687470000000005</v>
      </c>
      <c r="I69" s="86"/>
      <c r="J69" s="86">
        <v>43.687470000000005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1:20" ht="24.75" customHeight="1" x14ac:dyDescent="0.25">
      <c r="A70" s="116"/>
      <c r="B70" s="115" t="s">
        <v>33</v>
      </c>
      <c r="C70" s="115"/>
      <c r="D70" s="115"/>
      <c r="E70" s="86">
        <f t="shared" si="3"/>
        <v>60.890630510008002</v>
      </c>
      <c r="F70" s="86"/>
      <c r="G70" s="86">
        <v>60.890630510008002</v>
      </c>
      <c r="H70" s="86">
        <f t="shared" si="4"/>
        <v>66.995739999999998</v>
      </c>
      <c r="I70" s="86"/>
      <c r="J70" s="86">
        <v>66.995739999999998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</row>
    <row r="71" spans="1:20" ht="24.75" customHeight="1" x14ac:dyDescent="0.25">
      <c r="A71" s="116"/>
      <c r="B71" s="115" t="s">
        <v>34</v>
      </c>
      <c r="C71" s="115"/>
      <c r="D71" s="115"/>
      <c r="E71" s="86">
        <f t="shared" si="3"/>
        <v>70.573578314880095</v>
      </c>
      <c r="F71" s="86"/>
      <c r="G71" s="86">
        <v>70.573578314880095</v>
      </c>
      <c r="H71" s="86">
        <f t="shared" si="4"/>
        <v>93.744869999999992</v>
      </c>
      <c r="I71" s="86"/>
      <c r="J71" s="86">
        <v>93.744869999999992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</row>
    <row r="72" spans="1:20" ht="24.75" customHeight="1" x14ac:dyDescent="0.25">
      <c r="A72" s="116"/>
      <c r="B72" s="115" t="s">
        <v>218</v>
      </c>
      <c r="C72" s="115"/>
      <c r="D72" s="115"/>
      <c r="E72" s="86">
        <f>+G72</f>
        <v>63.040283744427896</v>
      </c>
      <c r="F72" s="86"/>
      <c r="G72" s="86">
        <f>63040.2837444279/1000</f>
        <v>63.040283744427896</v>
      </c>
      <c r="H72" s="86"/>
      <c r="I72" s="86"/>
      <c r="J72" s="86"/>
      <c r="K72" s="33"/>
      <c r="L72" s="33"/>
      <c r="M72" s="33"/>
      <c r="N72" s="33"/>
      <c r="O72" s="33"/>
      <c r="P72" s="33"/>
      <c r="Q72" s="33"/>
      <c r="R72" s="33"/>
      <c r="S72" s="33"/>
      <c r="T72" s="33"/>
    </row>
    <row r="73" spans="1:20" ht="47.25" customHeight="1" x14ac:dyDescent="0.25">
      <c r="A73" s="121" t="s">
        <v>32</v>
      </c>
      <c r="B73" s="119" t="s">
        <v>72</v>
      </c>
      <c r="C73" s="119" t="s">
        <v>73</v>
      </c>
      <c r="D73" s="128">
        <f>2969874/1000</f>
        <v>2969.8739999999998</v>
      </c>
      <c r="E73" s="21">
        <f>G73</f>
        <v>576.255</v>
      </c>
      <c r="F73" s="92" t="s">
        <v>74</v>
      </c>
      <c r="G73" s="21">
        <f>576255/1000</f>
        <v>576.255</v>
      </c>
      <c r="H73" s="21"/>
      <c r="I73" s="21"/>
      <c r="J73" s="21"/>
      <c r="K73" s="33"/>
      <c r="L73" s="33"/>
      <c r="M73" s="33"/>
      <c r="N73" s="33"/>
      <c r="O73" s="33"/>
      <c r="P73" s="33"/>
      <c r="Q73" s="33"/>
      <c r="R73" s="33"/>
      <c r="S73" s="33"/>
      <c r="T73" s="33"/>
    </row>
    <row r="74" spans="1:20" ht="47.25" customHeight="1" x14ac:dyDescent="0.25">
      <c r="A74" s="121"/>
      <c r="B74" s="119"/>
      <c r="C74" s="119"/>
      <c r="D74" s="128"/>
      <c r="E74" s="21">
        <f>G74</f>
        <v>576.255</v>
      </c>
      <c r="F74" s="92" t="s">
        <v>95</v>
      </c>
      <c r="G74" s="21">
        <f>576255/1000</f>
        <v>576.255</v>
      </c>
      <c r="H74" s="21"/>
      <c r="I74" s="21"/>
      <c r="J74" s="21"/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1:20" ht="47.25" customHeight="1" x14ac:dyDescent="0.25">
      <c r="A75" s="121"/>
      <c r="B75" s="69" t="s">
        <v>76</v>
      </c>
      <c r="C75" s="69" t="s">
        <v>77</v>
      </c>
      <c r="D75" s="21">
        <f>3500905.02/1000</f>
        <v>3500.9050200000001</v>
      </c>
      <c r="E75" s="21">
        <f>G75</f>
        <v>2450.7237799999998</v>
      </c>
      <c r="F75" s="92" t="s">
        <v>78</v>
      </c>
      <c r="G75" s="21">
        <f>2450723.78/1000</f>
        <v>2450.7237799999998</v>
      </c>
      <c r="H75" s="21"/>
      <c r="I75" s="21"/>
      <c r="J75" s="21"/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1:20" ht="17.25" customHeight="1" x14ac:dyDescent="0.25">
      <c r="A76" s="93" t="s">
        <v>13</v>
      </c>
      <c r="B76" s="124"/>
      <c r="C76" s="124"/>
      <c r="D76" s="124"/>
      <c r="E76" s="94">
        <f>SUM(E9:E75)</f>
        <v>12423.504462702655</v>
      </c>
      <c r="F76" s="94"/>
      <c r="G76" s="94">
        <f>SUM(G9:G75)</f>
        <v>12423.504462702655</v>
      </c>
      <c r="H76" s="94">
        <f>SUM(H9:H75)</f>
        <v>5993.203026000001</v>
      </c>
      <c r="I76" s="94"/>
      <c r="J76" s="94">
        <f>SUM(J9:J75)</f>
        <v>5993.203026000001</v>
      </c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20" x14ac:dyDescent="0.25">
      <c r="A77" s="125" t="s">
        <v>16</v>
      </c>
      <c r="B77" s="125"/>
      <c r="C77" s="125"/>
      <c r="D77" s="125"/>
      <c r="E77" s="125"/>
      <c r="F77" s="125"/>
      <c r="G77" s="125"/>
      <c r="H77" s="125"/>
      <c r="I77" s="125"/>
      <c r="J77" s="125"/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20" ht="27.75" customHeight="1" x14ac:dyDescent="0.25">
      <c r="A78" s="116" t="s">
        <v>60</v>
      </c>
      <c r="B78" s="115" t="s">
        <v>28</v>
      </c>
      <c r="C78" s="115"/>
      <c r="D78" s="115"/>
      <c r="E78" s="86">
        <f t="shared" ref="E78:E137" si="5">G78</f>
        <v>5.62984990757856</v>
      </c>
      <c r="F78" s="86"/>
      <c r="G78" s="86">
        <v>5.62984990757856</v>
      </c>
      <c r="H78" s="86">
        <f t="shared" ref="H78:H137" si="6">J78</f>
        <v>24.78473</v>
      </c>
      <c r="I78" s="86"/>
      <c r="J78" s="86">
        <v>24.78473</v>
      </c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20" ht="30.75" customHeight="1" x14ac:dyDescent="0.25">
      <c r="A79" s="116"/>
      <c r="B79" s="115" t="s">
        <v>33</v>
      </c>
      <c r="C79" s="115"/>
      <c r="D79" s="115"/>
      <c r="E79" s="86">
        <f t="shared" si="5"/>
        <v>39.1591450018119</v>
      </c>
      <c r="F79" s="86"/>
      <c r="G79" s="86">
        <v>39.1591450018119</v>
      </c>
      <c r="H79" s="86">
        <f t="shared" si="6"/>
        <v>49.405110000000001</v>
      </c>
      <c r="I79" s="86"/>
      <c r="J79" s="86">
        <v>49.405110000000001</v>
      </c>
      <c r="K79" s="33"/>
      <c r="L79" s="33"/>
      <c r="M79" s="33"/>
      <c r="N79" s="33"/>
      <c r="O79" s="33"/>
      <c r="P79" s="33"/>
      <c r="Q79" s="33"/>
      <c r="R79" s="33"/>
      <c r="S79" s="33"/>
      <c r="T79" s="33"/>
    </row>
    <row r="80" spans="1:20" ht="30" customHeight="1" x14ac:dyDescent="0.25">
      <c r="A80" s="116"/>
      <c r="B80" s="115" t="s">
        <v>34</v>
      </c>
      <c r="C80" s="115"/>
      <c r="D80" s="115"/>
      <c r="E80" s="86">
        <f t="shared" si="5"/>
        <v>56.886302029688295</v>
      </c>
      <c r="F80" s="86"/>
      <c r="G80" s="86">
        <v>56.886302029688295</v>
      </c>
      <c r="H80" s="86">
        <f t="shared" si="6"/>
        <v>83.916479999999993</v>
      </c>
      <c r="I80" s="86"/>
      <c r="J80" s="86">
        <v>83.916479999999993</v>
      </c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1:20" ht="30" customHeight="1" x14ac:dyDescent="0.25">
      <c r="A81" s="116"/>
      <c r="B81" s="115" t="s">
        <v>219</v>
      </c>
      <c r="C81" s="115"/>
      <c r="D81" s="115"/>
      <c r="E81" s="86">
        <f>+G81</f>
        <v>56.431023060921305</v>
      </c>
      <c r="F81" s="86"/>
      <c r="G81" s="86">
        <f>56431.0230609213/1000</f>
        <v>56.431023060921305</v>
      </c>
      <c r="H81" s="86"/>
      <c r="I81" s="86"/>
      <c r="J81" s="86"/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1:20" ht="33.75" customHeight="1" x14ac:dyDescent="0.25">
      <c r="A82" s="118" t="s">
        <v>29</v>
      </c>
      <c r="B82" s="84" t="s">
        <v>80</v>
      </c>
      <c r="C82" s="84" t="s">
        <v>81</v>
      </c>
      <c r="D82" s="86">
        <f>10562094.55/1000</f>
        <v>10562.094550000002</v>
      </c>
      <c r="E82" s="86">
        <f>G82</f>
        <v>571.64494999999999</v>
      </c>
      <c r="F82" s="74" t="s">
        <v>83</v>
      </c>
      <c r="G82" s="86">
        <f>571644.95/1000</f>
        <v>571.64494999999999</v>
      </c>
      <c r="H82" s="86"/>
      <c r="I82" s="86"/>
      <c r="J82" s="86"/>
      <c r="K82" s="33"/>
      <c r="L82" s="33"/>
      <c r="M82" s="33"/>
      <c r="N82" s="33"/>
      <c r="O82" s="33"/>
      <c r="P82" s="33"/>
      <c r="Q82" s="33"/>
      <c r="R82" s="33"/>
      <c r="S82" s="33"/>
      <c r="T82" s="33"/>
    </row>
    <row r="83" spans="1:20" ht="51.75" customHeight="1" x14ac:dyDescent="0.25">
      <c r="A83" s="118"/>
      <c r="B83" s="115" t="s">
        <v>88</v>
      </c>
      <c r="C83" s="115" t="s">
        <v>89</v>
      </c>
      <c r="D83" s="120">
        <f>9738510.57/1000</f>
        <v>9738.5105700000004</v>
      </c>
      <c r="E83" s="86">
        <f>G83</f>
        <v>871.97925999999995</v>
      </c>
      <c r="F83" s="74" t="s">
        <v>90</v>
      </c>
      <c r="G83" s="86">
        <f>871979.26/1000</f>
        <v>871.97925999999995</v>
      </c>
      <c r="H83" s="86">
        <f>+J83</f>
        <v>2886.1350119999997</v>
      </c>
      <c r="I83" s="74" t="s">
        <v>182</v>
      </c>
      <c r="J83" s="86">
        <f>2405112.51/1000*1.2</f>
        <v>2886.1350119999997</v>
      </c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1:20" ht="51.75" customHeight="1" x14ac:dyDescent="0.25">
      <c r="A84" s="118"/>
      <c r="B84" s="115"/>
      <c r="C84" s="115"/>
      <c r="D84" s="120"/>
      <c r="E84" s="86"/>
      <c r="F84" s="74"/>
      <c r="G84" s="86"/>
      <c r="H84" s="86"/>
      <c r="I84" s="86"/>
      <c r="J84" s="86"/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1:20" ht="35.25" customHeight="1" x14ac:dyDescent="0.25">
      <c r="A85" s="118" t="s">
        <v>30</v>
      </c>
      <c r="B85" s="84" t="s">
        <v>80</v>
      </c>
      <c r="C85" s="84" t="s">
        <v>81</v>
      </c>
      <c r="D85" s="86">
        <f>10562094.55/1000</f>
        <v>10562.094550000002</v>
      </c>
      <c r="E85" s="86">
        <f>G85</f>
        <v>695.80638999999996</v>
      </c>
      <c r="F85" s="74" t="s">
        <v>82</v>
      </c>
      <c r="G85" s="86">
        <f>695806.39/1000</f>
        <v>695.80638999999996</v>
      </c>
      <c r="H85" s="86"/>
      <c r="I85" s="86"/>
      <c r="J85" s="86"/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1:20" ht="45.75" customHeight="1" x14ac:dyDescent="0.25">
      <c r="A86" s="118"/>
      <c r="B86" s="115" t="s">
        <v>88</v>
      </c>
      <c r="C86" s="115" t="s">
        <v>89</v>
      </c>
      <c r="D86" s="120">
        <f>9738510.57/1000</f>
        <v>9738.5105700000004</v>
      </c>
      <c r="E86" s="86">
        <f>G86</f>
        <v>360.04480999999998</v>
      </c>
      <c r="F86" s="74" t="s">
        <v>103</v>
      </c>
      <c r="G86" s="86">
        <f>360044.81/1000</f>
        <v>360.04480999999998</v>
      </c>
      <c r="H86" s="86">
        <f>J86</f>
        <v>360.04480800000005</v>
      </c>
      <c r="I86" s="74" t="s">
        <v>124</v>
      </c>
      <c r="J86" s="86">
        <f>300037.34*1.2/1000</f>
        <v>360.04480800000005</v>
      </c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1:20" ht="45.75" customHeight="1" x14ac:dyDescent="0.25">
      <c r="A87" s="118"/>
      <c r="B87" s="115"/>
      <c r="C87" s="115"/>
      <c r="D87" s="120"/>
      <c r="E87" s="86"/>
      <c r="F87" s="74"/>
      <c r="G87" s="86"/>
      <c r="H87" s="86">
        <f>+J87</f>
        <v>1703.9840519999998</v>
      </c>
      <c r="I87" s="74" t="s">
        <v>181</v>
      </c>
      <c r="J87" s="86">
        <f>1419986.71/1000*1.2</f>
        <v>1703.9840519999998</v>
      </c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1:20" ht="33" customHeight="1" x14ac:dyDescent="0.25">
      <c r="A88" s="118" t="s">
        <v>179</v>
      </c>
      <c r="B88" s="115" t="s">
        <v>28</v>
      </c>
      <c r="C88" s="115"/>
      <c r="D88" s="115"/>
      <c r="E88" s="86">
        <f t="shared" si="5"/>
        <v>1.5800369685767099</v>
      </c>
      <c r="F88" s="86"/>
      <c r="G88" s="86">
        <v>1.5800369685767099</v>
      </c>
      <c r="H88" s="86">
        <f t="shared" si="6"/>
        <v>6.9559300000000004</v>
      </c>
      <c r="I88" s="86"/>
      <c r="J88" s="86">
        <v>6.9559300000000004</v>
      </c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1:20" ht="33" customHeight="1" x14ac:dyDescent="0.25">
      <c r="A89" s="118"/>
      <c r="B89" s="115" t="s">
        <v>33</v>
      </c>
      <c r="C89" s="115"/>
      <c r="D89" s="115"/>
      <c r="E89" s="86">
        <f t="shared" si="5"/>
        <v>6.0655062109949505</v>
      </c>
      <c r="F89" s="86"/>
      <c r="G89" s="86">
        <v>6.0655062109949505</v>
      </c>
      <c r="H89" s="86">
        <f t="shared" si="6"/>
        <v>1.7031500000000002</v>
      </c>
      <c r="I89" s="86"/>
      <c r="J89" s="86">
        <v>1.7031500000000002</v>
      </c>
      <c r="K89" s="33"/>
      <c r="L89" s="33"/>
      <c r="M89" s="33"/>
      <c r="N89" s="33"/>
      <c r="O89" s="33"/>
      <c r="P89" s="33"/>
      <c r="Q89" s="33"/>
      <c r="R89" s="33"/>
      <c r="S89" s="33"/>
      <c r="T89" s="33"/>
    </row>
    <row r="90" spans="1:20" ht="33" customHeight="1" x14ac:dyDescent="0.25">
      <c r="A90" s="118"/>
      <c r="B90" s="115" t="s">
        <v>34</v>
      </c>
      <c r="C90" s="115"/>
      <c r="D90" s="115"/>
      <c r="E90" s="86">
        <f t="shared" si="5"/>
        <v>1.99878265995285</v>
      </c>
      <c r="F90" s="86"/>
      <c r="G90" s="86">
        <v>1.99878265995285</v>
      </c>
      <c r="H90" s="86">
        <f t="shared" si="6"/>
        <v>3.00807</v>
      </c>
      <c r="I90" s="86"/>
      <c r="J90" s="86">
        <v>3.00807</v>
      </c>
      <c r="K90" s="33"/>
      <c r="L90" s="33"/>
      <c r="M90" s="33"/>
      <c r="N90" s="33"/>
      <c r="O90" s="33"/>
      <c r="P90" s="33"/>
      <c r="Q90" s="33"/>
      <c r="R90" s="33"/>
      <c r="S90" s="33"/>
      <c r="T90" s="33"/>
    </row>
    <row r="91" spans="1:20" ht="33" customHeight="1" x14ac:dyDescent="0.25">
      <c r="A91" s="118"/>
      <c r="B91" s="115" t="s">
        <v>218</v>
      </c>
      <c r="C91" s="115"/>
      <c r="D91" s="115"/>
      <c r="E91" s="86">
        <f>+G91</f>
        <v>3.7249002692022399</v>
      </c>
      <c r="F91" s="86"/>
      <c r="G91" s="86">
        <f>3724.90026920224/1000</f>
        <v>3.7249002692022399</v>
      </c>
      <c r="H91" s="86">
        <f>+J91</f>
        <v>4.3882599999999998</v>
      </c>
      <c r="I91" s="86"/>
      <c r="J91" s="86">
        <f>4388.26/1000</f>
        <v>4.3882599999999998</v>
      </c>
      <c r="K91" s="33"/>
      <c r="L91" s="33"/>
      <c r="M91" s="33"/>
      <c r="N91" s="33"/>
      <c r="O91" s="33"/>
      <c r="P91" s="33"/>
      <c r="Q91" s="33"/>
      <c r="R91" s="33"/>
      <c r="S91" s="33"/>
      <c r="T91" s="33"/>
    </row>
    <row r="92" spans="1:20" ht="33" customHeight="1" x14ac:dyDescent="0.25">
      <c r="A92" s="118"/>
      <c r="B92" s="115" t="s">
        <v>178</v>
      </c>
      <c r="C92" s="115"/>
      <c r="D92" s="115"/>
      <c r="E92" s="86">
        <f>+G92</f>
        <v>3.9403388260963403</v>
      </c>
      <c r="F92" s="86"/>
      <c r="G92" s="86">
        <f>3940.33882609634/1000</f>
        <v>3.9403388260963403</v>
      </c>
      <c r="H92" s="86">
        <f>+J92</f>
        <v>4.0408800000000005</v>
      </c>
      <c r="I92" s="86"/>
      <c r="J92" s="86">
        <f>4040.88/1000</f>
        <v>4.0408800000000005</v>
      </c>
      <c r="K92" s="33"/>
      <c r="L92" s="33"/>
      <c r="M92" s="33"/>
      <c r="N92" s="33"/>
      <c r="O92" s="33"/>
      <c r="P92" s="33"/>
      <c r="Q92" s="33"/>
      <c r="R92" s="33"/>
      <c r="S92" s="33"/>
      <c r="T92" s="33"/>
    </row>
    <row r="93" spans="1:20" ht="33" customHeight="1" x14ac:dyDescent="0.25">
      <c r="A93" s="118"/>
      <c r="B93" s="115" t="s">
        <v>155</v>
      </c>
      <c r="C93" s="115"/>
      <c r="D93" s="115"/>
      <c r="E93" s="86">
        <f>+G93</f>
        <v>2.7867250651769102</v>
      </c>
      <c r="F93" s="86"/>
      <c r="G93" s="86">
        <f>2786.72506517691/1000</f>
        <v>2.7867250651769102</v>
      </c>
      <c r="H93" s="86"/>
      <c r="I93" s="86"/>
      <c r="J93" s="86"/>
      <c r="K93" s="33"/>
      <c r="L93" s="33"/>
      <c r="M93" s="33"/>
      <c r="N93" s="33"/>
      <c r="O93" s="33"/>
      <c r="P93" s="33"/>
      <c r="Q93" s="33"/>
      <c r="R93" s="33"/>
      <c r="S93" s="33"/>
      <c r="T93" s="33"/>
    </row>
    <row r="94" spans="1:20" ht="75.75" customHeight="1" x14ac:dyDescent="0.25">
      <c r="A94" s="73" t="s">
        <v>119</v>
      </c>
      <c r="B94" s="69" t="s">
        <v>120</v>
      </c>
      <c r="C94" s="69" t="s">
        <v>128</v>
      </c>
      <c r="D94" s="95">
        <v>1740.327</v>
      </c>
      <c r="E94" s="21"/>
      <c r="F94" s="21"/>
      <c r="G94" s="21"/>
      <c r="H94" s="21">
        <f>J94</f>
        <v>1740.327</v>
      </c>
      <c r="I94" s="92" t="s">
        <v>131</v>
      </c>
      <c r="J94" s="21">
        <f>1450272.5*1.2/1000</f>
        <v>1740.327</v>
      </c>
      <c r="K94" s="33"/>
      <c r="L94" s="33"/>
      <c r="M94" s="33"/>
      <c r="N94" s="33"/>
      <c r="O94" s="33"/>
      <c r="P94" s="33"/>
      <c r="Q94" s="33"/>
      <c r="R94" s="33"/>
      <c r="S94" s="33"/>
      <c r="T94" s="33"/>
    </row>
    <row r="95" spans="1:20" ht="33" customHeight="1" x14ac:dyDescent="0.25">
      <c r="A95" s="118" t="s">
        <v>61</v>
      </c>
      <c r="B95" s="119" t="s">
        <v>28</v>
      </c>
      <c r="C95" s="119"/>
      <c r="D95" s="119"/>
      <c r="E95" s="21">
        <f t="shared" si="5"/>
        <v>1.88719852125693</v>
      </c>
      <c r="F95" s="21"/>
      <c r="G95" s="21">
        <v>1.88719852125693</v>
      </c>
      <c r="H95" s="21">
        <f t="shared" si="6"/>
        <v>8.3081700000000005</v>
      </c>
      <c r="I95" s="21"/>
      <c r="J95" s="21">
        <v>8.3081700000000005</v>
      </c>
      <c r="K95" s="33"/>
      <c r="L95" s="33"/>
      <c r="M95" s="33"/>
      <c r="N95" s="33"/>
      <c r="O95" s="33"/>
      <c r="P95" s="33"/>
      <c r="Q95" s="33"/>
      <c r="R95" s="33"/>
      <c r="S95" s="33"/>
      <c r="T95" s="33"/>
    </row>
    <row r="96" spans="1:20" ht="33" customHeight="1" x14ac:dyDescent="0.25">
      <c r="A96" s="118"/>
      <c r="B96" s="119" t="s">
        <v>33</v>
      </c>
      <c r="C96" s="119"/>
      <c r="D96" s="119"/>
      <c r="E96" s="21">
        <f t="shared" si="5"/>
        <v>21.613469666552</v>
      </c>
      <c r="F96" s="21"/>
      <c r="G96" s="21">
        <v>21.613469666552</v>
      </c>
      <c r="H96" s="21">
        <f t="shared" si="6"/>
        <v>37.5214</v>
      </c>
      <c r="I96" s="21"/>
      <c r="J96" s="21">
        <v>37.5214</v>
      </c>
      <c r="K96" s="33"/>
      <c r="L96" s="33"/>
      <c r="M96" s="33"/>
      <c r="N96" s="33"/>
      <c r="O96" s="33"/>
      <c r="P96" s="33"/>
      <c r="Q96" s="33"/>
      <c r="R96" s="33"/>
      <c r="S96" s="33"/>
      <c r="T96" s="33"/>
    </row>
    <row r="97" spans="1:20" ht="33" customHeight="1" x14ac:dyDescent="0.25">
      <c r="A97" s="118"/>
      <c r="B97" s="119" t="s">
        <v>34</v>
      </c>
      <c r="C97" s="119"/>
      <c r="D97" s="119"/>
      <c r="E97" s="21">
        <f t="shared" si="5"/>
        <v>49.469088795846403</v>
      </c>
      <c r="F97" s="21"/>
      <c r="G97" s="21">
        <v>49.469088795846403</v>
      </c>
      <c r="H97" s="21">
        <f t="shared" si="6"/>
        <v>82.86233</v>
      </c>
      <c r="I97" s="21"/>
      <c r="J97" s="21">
        <v>82.86233</v>
      </c>
      <c r="K97" s="33"/>
      <c r="L97" s="33"/>
      <c r="M97" s="33"/>
      <c r="N97" s="33"/>
      <c r="O97" s="33"/>
      <c r="P97" s="33"/>
      <c r="Q97" s="33"/>
      <c r="R97" s="33"/>
      <c r="S97" s="33"/>
      <c r="T97" s="33"/>
    </row>
    <row r="98" spans="1:20" ht="33" customHeight="1" x14ac:dyDescent="0.25">
      <c r="A98" s="118"/>
      <c r="B98" s="115" t="s">
        <v>218</v>
      </c>
      <c r="C98" s="115"/>
      <c r="D98" s="115"/>
      <c r="E98" s="86">
        <f>+G98</f>
        <v>79.298891814628007</v>
      </c>
      <c r="F98" s="86"/>
      <c r="G98" s="86">
        <f>79298.891814628/1000</f>
        <v>79.298891814628007</v>
      </c>
      <c r="H98" s="86">
        <f>+J98</f>
        <v>60.784990000000001</v>
      </c>
      <c r="I98" s="86"/>
      <c r="J98" s="86">
        <f>60784.99/1000</f>
        <v>60.784990000000001</v>
      </c>
      <c r="K98" s="33"/>
      <c r="L98" s="33"/>
      <c r="M98" s="33"/>
      <c r="N98" s="33"/>
      <c r="O98" s="33"/>
      <c r="P98" s="33"/>
      <c r="Q98" s="33"/>
      <c r="R98" s="33"/>
      <c r="S98" s="33"/>
      <c r="T98" s="33"/>
    </row>
    <row r="99" spans="1:20" ht="33" customHeight="1" x14ac:dyDescent="0.25">
      <c r="A99" s="118"/>
      <c r="B99" s="120" t="s">
        <v>178</v>
      </c>
      <c r="C99" s="120"/>
      <c r="D99" s="120"/>
      <c r="E99" s="86">
        <f>+G99</f>
        <v>65.670094553672001</v>
      </c>
      <c r="F99" s="86"/>
      <c r="G99" s="86">
        <f>65670.094553672/1000</f>
        <v>65.670094553672001</v>
      </c>
      <c r="H99" s="86">
        <f>+J99</f>
        <v>91.704139999999995</v>
      </c>
      <c r="I99" s="86"/>
      <c r="J99" s="86">
        <f>91704.14/1000</f>
        <v>91.704139999999995</v>
      </c>
      <c r="K99" s="33"/>
      <c r="L99" s="33"/>
      <c r="M99" s="33"/>
      <c r="N99" s="33"/>
      <c r="O99" s="33"/>
      <c r="P99" s="33"/>
      <c r="Q99" s="33"/>
      <c r="R99" s="33"/>
      <c r="S99" s="33"/>
      <c r="T99" s="33"/>
    </row>
    <row r="100" spans="1:20" ht="33" customHeight="1" x14ac:dyDescent="0.25">
      <c r="A100" s="118"/>
      <c r="B100" s="115" t="s">
        <v>155</v>
      </c>
      <c r="C100" s="115"/>
      <c r="D100" s="115"/>
      <c r="E100" s="86">
        <f>+G100</f>
        <v>87.112737256353299</v>
      </c>
      <c r="F100" s="86"/>
      <c r="G100" s="86">
        <f>87112.7372563533/1000</f>
        <v>87.112737256353299</v>
      </c>
      <c r="H100" s="86">
        <f>+J100</f>
        <v>65.247349999999997</v>
      </c>
      <c r="I100" s="86"/>
      <c r="J100" s="86">
        <f>65247.35/1000</f>
        <v>65.247349999999997</v>
      </c>
      <c r="K100" s="33"/>
      <c r="L100" s="33"/>
      <c r="M100" s="33"/>
      <c r="N100" s="33"/>
      <c r="O100" s="33"/>
      <c r="P100" s="33"/>
      <c r="Q100" s="33"/>
      <c r="R100" s="33"/>
      <c r="S100" s="33"/>
      <c r="T100" s="33"/>
    </row>
    <row r="101" spans="1:20" ht="50.25" customHeight="1" x14ac:dyDescent="0.25">
      <c r="A101" s="118"/>
      <c r="B101" s="84" t="s">
        <v>177</v>
      </c>
      <c r="C101" s="84" t="s">
        <v>212</v>
      </c>
      <c r="D101" s="84"/>
      <c r="E101" s="86">
        <f>+G101</f>
        <v>254.238</v>
      </c>
      <c r="F101" s="74" t="s">
        <v>213</v>
      </c>
      <c r="G101" s="86">
        <f>254238/1000</f>
        <v>254.238</v>
      </c>
      <c r="H101" s="86"/>
      <c r="I101" s="86"/>
      <c r="J101" s="86"/>
      <c r="K101" s="33"/>
      <c r="L101" s="33"/>
      <c r="M101" s="33"/>
      <c r="N101" s="33"/>
      <c r="O101" s="33"/>
      <c r="P101" s="33"/>
      <c r="Q101" s="33"/>
      <c r="R101" s="33"/>
      <c r="S101" s="33"/>
      <c r="T101" s="33"/>
    </row>
    <row r="102" spans="1:20" ht="33" customHeight="1" x14ac:dyDescent="0.25">
      <c r="A102" s="73"/>
      <c r="B102" s="84"/>
      <c r="C102" s="84"/>
      <c r="D102" s="84"/>
      <c r="E102" s="86"/>
      <c r="F102" s="86"/>
      <c r="G102" s="86"/>
      <c r="H102" s="86"/>
      <c r="I102" s="86"/>
      <c r="J102" s="86"/>
      <c r="K102" s="33"/>
      <c r="L102" s="33"/>
      <c r="M102" s="33"/>
      <c r="N102" s="33"/>
      <c r="O102" s="33"/>
      <c r="P102" s="33"/>
      <c r="Q102" s="33"/>
      <c r="R102" s="33"/>
      <c r="S102" s="33"/>
      <c r="T102" s="33"/>
    </row>
    <row r="103" spans="1:20" ht="48.75" customHeight="1" x14ac:dyDescent="0.25">
      <c r="A103" s="118" t="s">
        <v>62</v>
      </c>
      <c r="B103" s="115" t="s">
        <v>156</v>
      </c>
      <c r="C103" s="115" t="s">
        <v>197</v>
      </c>
      <c r="D103" s="115">
        <v>133.19999999999999</v>
      </c>
      <c r="E103" s="86">
        <f>+G103</f>
        <v>96.943789999999993</v>
      </c>
      <c r="F103" s="74" t="s">
        <v>159</v>
      </c>
      <c r="G103" s="86">
        <f>96943.79/1000</f>
        <v>96.943789999999993</v>
      </c>
      <c r="H103" s="86"/>
      <c r="I103" s="86"/>
      <c r="J103" s="86"/>
      <c r="K103" s="33"/>
      <c r="L103" s="33"/>
      <c r="M103" s="33"/>
      <c r="N103" s="33"/>
      <c r="O103" s="33"/>
      <c r="P103" s="33"/>
      <c r="Q103" s="33"/>
      <c r="R103" s="33"/>
      <c r="S103" s="33"/>
      <c r="T103" s="33"/>
    </row>
    <row r="104" spans="1:20" ht="33" customHeight="1" x14ac:dyDescent="0.25">
      <c r="A104" s="118"/>
      <c r="B104" s="115"/>
      <c r="C104" s="115"/>
      <c r="D104" s="115"/>
      <c r="E104" s="86">
        <f>+G104</f>
        <v>36.256129999999999</v>
      </c>
      <c r="F104" s="74" t="s">
        <v>160</v>
      </c>
      <c r="G104" s="86">
        <f>36256.13/1000</f>
        <v>36.256129999999999</v>
      </c>
      <c r="H104" s="86"/>
      <c r="I104" s="86"/>
      <c r="J104" s="86"/>
      <c r="K104" s="33"/>
      <c r="L104" s="33"/>
      <c r="M104" s="33"/>
      <c r="N104" s="33"/>
      <c r="O104" s="33"/>
      <c r="P104" s="33"/>
      <c r="Q104" s="33"/>
      <c r="R104" s="33"/>
      <c r="S104" s="33"/>
      <c r="T104" s="33"/>
    </row>
    <row r="105" spans="1:20" ht="51.75" customHeight="1" x14ac:dyDescent="0.25">
      <c r="A105" s="118"/>
      <c r="B105" s="84" t="s">
        <v>167</v>
      </c>
      <c r="C105" s="84" t="s">
        <v>168</v>
      </c>
      <c r="D105" s="84"/>
      <c r="E105" s="86">
        <f>+G105</f>
        <v>254.238</v>
      </c>
      <c r="F105" s="74" t="s">
        <v>169</v>
      </c>
      <c r="G105" s="86">
        <f>254238/1000</f>
        <v>254.238</v>
      </c>
      <c r="H105" s="86"/>
      <c r="I105" s="86"/>
      <c r="J105" s="86"/>
      <c r="K105" s="33"/>
      <c r="L105" s="33"/>
      <c r="M105" s="33"/>
      <c r="N105" s="33"/>
      <c r="O105" s="64"/>
      <c r="P105" s="33"/>
      <c r="Q105" s="33"/>
      <c r="R105" s="33"/>
      <c r="S105" s="33"/>
      <c r="T105" s="33"/>
    </row>
    <row r="106" spans="1:20" ht="51.75" customHeight="1" x14ac:dyDescent="0.25">
      <c r="A106" s="118"/>
      <c r="B106" s="84" t="s">
        <v>177</v>
      </c>
      <c r="C106" s="84" t="s">
        <v>195</v>
      </c>
      <c r="D106" s="84"/>
      <c r="E106" s="86">
        <f>+G106</f>
        <v>254.238</v>
      </c>
      <c r="F106" s="74" t="s">
        <v>214</v>
      </c>
      <c r="G106" s="86">
        <f>254238/1000</f>
        <v>254.238</v>
      </c>
      <c r="H106" s="86">
        <f>+J106</f>
        <v>254.238</v>
      </c>
      <c r="I106" s="74" t="s">
        <v>196</v>
      </c>
      <c r="J106" s="86">
        <f>211865/1000*1.2</f>
        <v>254.238</v>
      </c>
      <c r="K106" s="33"/>
      <c r="L106" s="33"/>
      <c r="M106" s="33"/>
      <c r="N106" s="33"/>
      <c r="O106" s="33"/>
      <c r="P106" s="33"/>
      <c r="Q106" s="33"/>
      <c r="R106" s="33"/>
      <c r="S106" s="33"/>
      <c r="T106" s="33"/>
    </row>
    <row r="107" spans="1:20" ht="33" customHeight="1" x14ac:dyDescent="0.25">
      <c r="A107" s="118"/>
      <c r="B107" s="119" t="s">
        <v>28</v>
      </c>
      <c r="C107" s="119"/>
      <c r="D107" s="119"/>
      <c r="E107" s="21">
        <f t="shared" si="5"/>
        <v>1.97089537892791</v>
      </c>
      <c r="F107" s="21"/>
      <c r="G107" s="21">
        <v>1.97089537892791</v>
      </c>
      <c r="H107" s="21">
        <f t="shared" si="6"/>
        <v>8.6766100000000002</v>
      </c>
      <c r="I107" s="21"/>
      <c r="J107" s="21">
        <v>8.6766100000000002</v>
      </c>
      <c r="K107" s="33"/>
      <c r="L107" s="33"/>
      <c r="M107" s="33"/>
      <c r="N107" s="33"/>
      <c r="O107" s="33"/>
      <c r="P107" s="33"/>
      <c r="Q107" s="33"/>
      <c r="R107" s="33"/>
      <c r="S107" s="33"/>
      <c r="T107" s="33"/>
    </row>
    <row r="108" spans="1:20" ht="33" customHeight="1" x14ac:dyDescent="0.25">
      <c r="A108" s="118"/>
      <c r="B108" s="119" t="s">
        <v>33</v>
      </c>
      <c r="C108" s="119"/>
      <c r="D108" s="119"/>
      <c r="E108" s="21">
        <f t="shared" si="5"/>
        <v>19.3739768945482</v>
      </c>
      <c r="F108" s="21"/>
      <c r="G108" s="21">
        <v>19.3739768945482</v>
      </c>
      <c r="H108" s="21">
        <f t="shared" si="6"/>
        <v>31.28715</v>
      </c>
      <c r="I108" s="21"/>
      <c r="J108" s="21">
        <v>31.28715</v>
      </c>
      <c r="K108" s="33"/>
      <c r="L108" s="33"/>
      <c r="M108" s="33"/>
      <c r="N108" s="33"/>
      <c r="O108" s="33"/>
      <c r="P108" s="33"/>
      <c r="Q108" s="33"/>
      <c r="R108" s="33"/>
      <c r="S108" s="33"/>
      <c r="T108" s="33"/>
    </row>
    <row r="109" spans="1:20" ht="33" customHeight="1" x14ac:dyDescent="0.25">
      <c r="A109" s="118"/>
      <c r="B109" s="119" t="s">
        <v>34</v>
      </c>
      <c r="C109" s="119"/>
      <c r="D109" s="119"/>
      <c r="E109" s="21">
        <f t="shared" si="5"/>
        <v>36.028725646286098</v>
      </c>
      <c r="F109" s="21"/>
      <c r="G109" s="21">
        <v>36.028725646286098</v>
      </c>
      <c r="H109" s="21">
        <f t="shared" si="6"/>
        <v>53.154379999999996</v>
      </c>
      <c r="I109" s="21"/>
      <c r="J109" s="21">
        <v>53.154379999999996</v>
      </c>
      <c r="K109" s="33"/>
      <c r="L109" s="33"/>
      <c r="M109" s="33"/>
      <c r="N109" s="33"/>
      <c r="O109" s="33"/>
      <c r="P109" s="33"/>
      <c r="Q109" s="33"/>
      <c r="R109" s="33"/>
      <c r="S109" s="33"/>
      <c r="T109" s="33"/>
    </row>
    <row r="110" spans="1:20" ht="33" customHeight="1" x14ac:dyDescent="0.25">
      <c r="A110" s="118"/>
      <c r="B110" s="115" t="s">
        <v>218</v>
      </c>
      <c r="C110" s="115"/>
      <c r="D110" s="115"/>
      <c r="E110" s="86">
        <f>+G110</f>
        <v>62.762924726875795</v>
      </c>
      <c r="F110" s="86"/>
      <c r="G110" s="86">
        <f>62762.9247268758/1000</f>
        <v>62.762924726875795</v>
      </c>
      <c r="H110" s="86">
        <f>+J110</f>
        <v>69.65813</v>
      </c>
      <c r="I110" s="86"/>
      <c r="J110" s="86">
        <f>69658.13/1000</f>
        <v>69.65813</v>
      </c>
      <c r="K110" s="33"/>
      <c r="L110" s="33"/>
      <c r="M110" s="33"/>
      <c r="N110" s="33"/>
      <c r="O110" s="33"/>
      <c r="P110" s="33"/>
      <c r="Q110" s="33"/>
      <c r="R110" s="33"/>
      <c r="S110" s="33"/>
      <c r="T110" s="33"/>
    </row>
    <row r="111" spans="1:20" ht="33" customHeight="1" x14ac:dyDescent="0.25">
      <c r="A111" s="118"/>
      <c r="B111" s="115" t="s">
        <v>178</v>
      </c>
      <c r="C111" s="115"/>
      <c r="D111" s="115"/>
      <c r="E111" s="86">
        <f>+G111</f>
        <v>69.311374951127306</v>
      </c>
      <c r="F111" s="86"/>
      <c r="G111" s="86">
        <f>69311.3749511273/1000</f>
        <v>69.311374951127306</v>
      </c>
      <c r="H111" s="86">
        <f>+J111</f>
        <v>85.935960000000009</v>
      </c>
      <c r="I111" s="86"/>
      <c r="J111" s="86">
        <f>85935.96/1000</f>
        <v>85.935960000000009</v>
      </c>
      <c r="K111" s="33"/>
      <c r="L111" s="33"/>
      <c r="M111" s="33"/>
      <c r="N111" s="33"/>
      <c r="O111" s="33"/>
      <c r="P111" s="33"/>
      <c r="Q111" s="33"/>
      <c r="R111" s="33"/>
      <c r="S111" s="33"/>
      <c r="T111" s="33"/>
    </row>
    <row r="112" spans="1:20" ht="33" customHeight="1" x14ac:dyDescent="0.25">
      <c r="A112" s="118"/>
      <c r="B112" s="115" t="s">
        <v>155</v>
      </c>
      <c r="C112" s="115"/>
      <c r="D112" s="115"/>
      <c r="E112" s="86">
        <f>+G112</f>
        <v>84.039021912620399</v>
      </c>
      <c r="F112" s="86"/>
      <c r="G112" s="86">
        <f>84039.0219126204/1000</f>
        <v>84.039021912620399</v>
      </c>
      <c r="H112" s="86">
        <f>+J112</f>
        <v>67.729029999999995</v>
      </c>
      <c r="I112" s="86"/>
      <c r="J112" s="86">
        <f>67729.03/1000</f>
        <v>67.729029999999995</v>
      </c>
      <c r="K112" s="33"/>
      <c r="L112" s="33"/>
      <c r="M112" s="33"/>
      <c r="N112" s="33"/>
      <c r="O112" s="33"/>
      <c r="P112" s="33"/>
      <c r="Q112" s="33"/>
      <c r="R112" s="33"/>
      <c r="S112" s="33"/>
      <c r="T112" s="33"/>
    </row>
    <row r="113" spans="1:20" ht="33" customHeight="1" x14ac:dyDescent="0.25">
      <c r="A113" s="118" t="s">
        <v>63</v>
      </c>
      <c r="B113" s="119" t="s">
        <v>28</v>
      </c>
      <c r="C113" s="119"/>
      <c r="D113" s="119"/>
      <c r="E113" s="21">
        <f t="shared" si="5"/>
        <v>2.7379134935305003</v>
      </c>
      <c r="F113" s="21"/>
      <c r="G113" s="21">
        <v>2.7379134935305003</v>
      </c>
      <c r="H113" s="21">
        <f t="shared" si="6"/>
        <v>12.05331</v>
      </c>
      <c r="I113" s="21"/>
      <c r="J113" s="21">
        <v>12.05331</v>
      </c>
      <c r="K113" s="33"/>
      <c r="L113" s="33"/>
      <c r="M113" s="33"/>
      <c r="N113" s="33"/>
      <c r="O113" s="33"/>
      <c r="P113" s="33"/>
      <c r="Q113" s="33"/>
      <c r="R113" s="33"/>
      <c r="S113" s="33"/>
      <c r="T113" s="33"/>
    </row>
    <row r="114" spans="1:20" ht="33" customHeight="1" x14ac:dyDescent="0.25">
      <c r="A114" s="118"/>
      <c r="B114" s="119" t="s">
        <v>33</v>
      </c>
      <c r="C114" s="119"/>
      <c r="D114" s="119"/>
      <c r="E114" s="21">
        <f t="shared" si="5"/>
        <v>46.918580690983504</v>
      </c>
      <c r="F114" s="21"/>
      <c r="G114" s="21">
        <v>46.918580690983504</v>
      </c>
      <c r="H114" s="21">
        <f t="shared" si="6"/>
        <v>92.869770000000003</v>
      </c>
      <c r="I114" s="21"/>
      <c r="J114" s="21">
        <v>92.869770000000003</v>
      </c>
      <c r="K114" s="33"/>
      <c r="L114" s="33"/>
      <c r="M114" s="33"/>
      <c r="N114" s="33"/>
      <c r="O114" s="33"/>
      <c r="P114" s="33"/>
      <c r="Q114" s="33"/>
      <c r="R114" s="33"/>
      <c r="S114" s="33"/>
      <c r="T114" s="33"/>
    </row>
    <row r="115" spans="1:20" ht="33" customHeight="1" x14ac:dyDescent="0.25">
      <c r="A115" s="118"/>
      <c r="B115" s="119" t="s">
        <v>34</v>
      </c>
      <c r="C115" s="119"/>
      <c r="D115" s="119"/>
      <c r="E115" s="21">
        <f t="shared" si="5"/>
        <v>75.111859678784711</v>
      </c>
      <c r="F115" s="21"/>
      <c r="G115" s="21">
        <v>75.111859678784711</v>
      </c>
      <c r="H115" s="21">
        <f t="shared" si="6"/>
        <v>60.590040000000002</v>
      </c>
      <c r="I115" s="21"/>
      <c r="J115" s="21">
        <v>60.590040000000002</v>
      </c>
      <c r="K115" s="33"/>
      <c r="L115" s="33"/>
      <c r="M115" s="33"/>
      <c r="N115" s="33"/>
      <c r="O115" s="33"/>
      <c r="P115" s="33"/>
      <c r="Q115" s="33"/>
      <c r="R115" s="33"/>
      <c r="S115" s="33"/>
      <c r="T115" s="33"/>
    </row>
    <row r="116" spans="1:20" ht="33" customHeight="1" x14ac:dyDescent="0.25">
      <c r="A116" s="118"/>
      <c r="B116" s="115" t="s">
        <v>218</v>
      </c>
      <c r="C116" s="115"/>
      <c r="D116" s="115"/>
      <c r="E116" s="86">
        <f>+G116</f>
        <v>96.859166208232097</v>
      </c>
      <c r="F116" s="86"/>
      <c r="G116" s="86">
        <f>96859.1662082321/1000</f>
        <v>96.859166208232097</v>
      </c>
      <c r="H116" s="86">
        <f>+J116</f>
        <v>144.67310000000001</v>
      </c>
      <c r="I116" s="86"/>
      <c r="J116" s="86">
        <f>144673.1/1000</f>
        <v>144.67310000000001</v>
      </c>
      <c r="K116" s="33"/>
      <c r="L116" s="33"/>
      <c r="M116" s="33"/>
      <c r="N116" s="33"/>
      <c r="O116" s="33"/>
      <c r="P116" s="33"/>
      <c r="Q116" s="33"/>
      <c r="R116" s="33"/>
      <c r="S116" s="33"/>
      <c r="T116" s="33"/>
    </row>
    <row r="117" spans="1:20" ht="33" customHeight="1" x14ac:dyDescent="0.25">
      <c r="A117" s="118"/>
      <c r="B117" s="115" t="s">
        <v>178</v>
      </c>
      <c r="C117" s="115"/>
      <c r="D117" s="115"/>
      <c r="E117" s="86">
        <f>+G117</f>
        <v>129.230609872603</v>
      </c>
      <c r="F117" s="86"/>
      <c r="G117" s="86">
        <f>129230.609872603/1000</f>
        <v>129.230609872603</v>
      </c>
      <c r="H117" s="86">
        <f>+J117</f>
        <v>131.04499000000001</v>
      </c>
      <c r="I117" s="86"/>
      <c r="J117" s="86">
        <f>131044.99/1000</f>
        <v>131.04499000000001</v>
      </c>
      <c r="K117" s="33"/>
      <c r="L117" s="33"/>
      <c r="M117" s="33"/>
      <c r="N117" s="33"/>
      <c r="O117" s="33"/>
      <c r="P117" s="33"/>
      <c r="Q117" s="33"/>
      <c r="R117" s="33"/>
      <c r="S117" s="33"/>
      <c r="T117" s="33"/>
    </row>
    <row r="118" spans="1:20" ht="33" customHeight="1" x14ac:dyDescent="0.25">
      <c r="A118" s="118"/>
      <c r="B118" s="115" t="s">
        <v>155</v>
      </c>
      <c r="C118" s="115"/>
      <c r="D118" s="115"/>
      <c r="E118" s="86">
        <f>+G118</f>
        <v>123.72174148019801</v>
      </c>
      <c r="F118" s="86"/>
      <c r="G118" s="86">
        <f>123721.741480198/1000</f>
        <v>123.72174148019801</v>
      </c>
      <c r="H118" s="86">
        <f>+J118</f>
        <v>91.168449999999993</v>
      </c>
      <c r="I118" s="86"/>
      <c r="J118" s="86">
        <f>91168.45/1000</f>
        <v>91.168449999999993</v>
      </c>
      <c r="K118" s="33"/>
      <c r="L118" s="33"/>
      <c r="M118" s="33"/>
      <c r="N118" s="33"/>
      <c r="O118" s="33"/>
      <c r="P118" s="33"/>
      <c r="Q118" s="33"/>
      <c r="R118" s="33"/>
      <c r="S118" s="33"/>
      <c r="T118" s="33"/>
    </row>
    <row r="119" spans="1:20" ht="33" customHeight="1" x14ac:dyDescent="0.25">
      <c r="A119" s="118"/>
      <c r="B119" s="115" t="s">
        <v>200</v>
      </c>
      <c r="C119" s="115" t="s">
        <v>204</v>
      </c>
      <c r="D119" s="84"/>
      <c r="E119" s="86">
        <f>+G119</f>
        <v>96.943789999999993</v>
      </c>
      <c r="F119" s="74" t="s">
        <v>205</v>
      </c>
      <c r="G119" s="86">
        <f>96943.79/1000</f>
        <v>96.943789999999993</v>
      </c>
      <c r="H119" s="86"/>
      <c r="I119" s="86"/>
      <c r="J119" s="86"/>
      <c r="K119" s="33"/>
      <c r="L119" s="33"/>
      <c r="M119" s="33"/>
      <c r="N119" s="33"/>
      <c r="O119" s="33"/>
      <c r="P119" s="33"/>
      <c r="Q119" s="33"/>
      <c r="R119" s="33"/>
      <c r="S119" s="33"/>
      <c r="T119" s="33"/>
    </row>
    <row r="120" spans="1:20" ht="33" customHeight="1" x14ac:dyDescent="0.25">
      <c r="A120" s="118"/>
      <c r="B120" s="115"/>
      <c r="C120" s="115"/>
      <c r="D120" s="84"/>
      <c r="E120" s="86">
        <f>+G120</f>
        <v>36.256129999999999</v>
      </c>
      <c r="F120" s="74" t="s">
        <v>206</v>
      </c>
      <c r="G120" s="86">
        <f>36256.13/1000</f>
        <v>36.256129999999999</v>
      </c>
      <c r="H120" s="86"/>
      <c r="I120" s="86"/>
      <c r="J120" s="86"/>
      <c r="K120" s="33"/>
      <c r="L120" s="33"/>
      <c r="M120" s="33"/>
      <c r="N120" s="33"/>
      <c r="O120" s="33"/>
      <c r="P120" s="33"/>
      <c r="Q120" s="33"/>
      <c r="R120" s="33"/>
      <c r="S120" s="33"/>
      <c r="T120" s="33"/>
    </row>
    <row r="121" spans="1:20" ht="87.75" customHeight="1" x14ac:dyDescent="0.25">
      <c r="A121" s="69" t="s">
        <v>35</v>
      </c>
      <c r="B121" s="119" t="s">
        <v>28</v>
      </c>
      <c r="C121" s="119"/>
      <c r="D121" s="119"/>
      <c r="E121" s="21">
        <f t="shared" si="5"/>
        <v>87.97822871794871</v>
      </c>
      <c r="F121" s="21"/>
      <c r="G121" s="21">
        <v>87.97822871794871</v>
      </c>
      <c r="H121" s="21"/>
      <c r="I121" s="21"/>
      <c r="J121" s="21"/>
      <c r="K121" s="33"/>
      <c r="L121" s="33"/>
      <c r="M121" s="33"/>
      <c r="N121" s="33"/>
      <c r="O121" s="33"/>
      <c r="P121" s="33"/>
      <c r="Q121" s="33"/>
      <c r="R121" s="33"/>
      <c r="S121" s="33"/>
      <c r="T121" s="33"/>
    </row>
    <row r="122" spans="1:20" ht="30" customHeight="1" x14ac:dyDescent="0.25">
      <c r="A122" s="115" t="s">
        <v>180</v>
      </c>
      <c r="B122" s="115" t="s">
        <v>28</v>
      </c>
      <c r="C122" s="115"/>
      <c r="D122" s="115"/>
      <c r="E122" s="86">
        <f t="shared" si="5"/>
        <v>0.81301885397412199</v>
      </c>
      <c r="F122" s="86"/>
      <c r="G122" s="86">
        <v>0.81301885397412199</v>
      </c>
      <c r="H122" s="86">
        <f t="shared" si="6"/>
        <v>3.5792299999999999</v>
      </c>
      <c r="I122" s="86"/>
      <c r="J122" s="86">
        <v>3.5792299999999999</v>
      </c>
      <c r="K122" s="33"/>
      <c r="L122" s="33"/>
      <c r="M122" s="33"/>
      <c r="N122" s="33"/>
      <c r="O122" s="33"/>
      <c r="P122" s="33"/>
      <c r="Q122" s="33"/>
      <c r="R122" s="33"/>
      <c r="S122" s="33"/>
      <c r="T122" s="33"/>
    </row>
    <row r="123" spans="1:20" ht="30" customHeight="1" x14ac:dyDescent="0.25">
      <c r="A123" s="115"/>
      <c r="B123" s="115" t="s">
        <v>33</v>
      </c>
      <c r="C123" s="115"/>
      <c r="D123" s="115"/>
      <c r="E123" s="86">
        <f t="shared" si="5"/>
        <v>3.4124793503092401</v>
      </c>
      <c r="F123" s="86"/>
      <c r="G123" s="86">
        <v>3.4124793503092401</v>
      </c>
      <c r="H123" s="86">
        <f t="shared" si="6"/>
        <v>1.5960799999999999</v>
      </c>
      <c r="I123" s="86"/>
      <c r="J123" s="86">
        <v>1.5960799999999999</v>
      </c>
      <c r="K123" s="33"/>
      <c r="L123" s="33"/>
      <c r="M123" s="33"/>
      <c r="N123" s="33"/>
      <c r="O123" s="33"/>
      <c r="P123" s="33"/>
      <c r="Q123" s="33"/>
      <c r="R123" s="33"/>
      <c r="S123" s="33"/>
      <c r="T123" s="33"/>
    </row>
    <row r="124" spans="1:20" ht="30" customHeight="1" x14ac:dyDescent="0.25">
      <c r="A124" s="115"/>
      <c r="B124" s="115" t="s">
        <v>34</v>
      </c>
      <c r="C124" s="115"/>
      <c r="D124" s="115"/>
      <c r="E124" s="86">
        <f t="shared" si="5"/>
        <v>1.4573966694164902</v>
      </c>
      <c r="F124" s="86"/>
      <c r="G124" s="86">
        <v>1.4573966694164902</v>
      </c>
      <c r="H124" s="86">
        <f t="shared" si="6"/>
        <v>1.5497000000000001</v>
      </c>
      <c r="I124" s="86"/>
      <c r="J124" s="86">
        <v>1.5497000000000001</v>
      </c>
      <c r="K124" s="33"/>
      <c r="L124" s="33"/>
      <c r="M124" s="33"/>
      <c r="N124" s="33"/>
      <c r="O124" s="33"/>
      <c r="P124" s="33"/>
      <c r="Q124" s="33"/>
      <c r="R124" s="33"/>
      <c r="S124" s="33"/>
      <c r="T124" s="33"/>
    </row>
    <row r="125" spans="1:20" ht="30" customHeight="1" x14ac:dyDescent="0.25">
      <c r="A125" s="115"/>
      <c r="B125" s="115" t="s">
        <v>218</v>
      </c>
      <c r="C125" s="115"/>
      <c r="D125" s="115"/>
      <c r="E125" s="86">
        <f>+G125</f>
        <v>7.21610027651474</v>
      </c>
      <c r="F125" s="86"/>
      <c r="G125" s="86">
        <f>7216.10027651474/1000</f>
        <v>7.21610027651474</v>
      </c>
      <c r="H125" s="86">
        <f>+J125</f>
        <v>15.91766</v>
      </c>
      <c r="I125" s="86"/>
      <c r="J125" s="86">
        <f>15917.66/1000</f>
        <v>15.91766</v>
      </c>
      <c r="K125" s="33"/>
      <c r="L125" s="33"/>
      <c r="M125" s="33"/>
      <c r="N125" s="33"/>
      <c r="O125" s="33"/>
      <c r="P125" s="33"/>
      <c r="Q125" s="33"/>
      <c r="R125" s="33"/>
      <c r="S125" s="33"/>
      <c r="T125" s="33"/>
    </row>
    <row r="126" spans="1:20" ht="30" customHeight="1" x14ac:dyDescent="0.25">
      <c r="A126" s="115"/>
      <c r="B126" s="115" t="s">
        <v>178</v>
      </c>
      <c r="C126" s="115"/>
      <c r="D126" s="115"/>
      <c r="E126" s="86">
        <f>+G126</f>
        <v>12.203420361889702</v>
      </c>
      <c r="F126" s="86"/>
      <c r="G126" s="86">
        <f>12203.4203618897/1000</f>
        <v>12.203420361889702</v>
      </c>
      <c r="H126" s="86">
        <f>+J126</f>
        <v>7.9252900000000004</v>
      </c>
      <c r="I126" s="86"/>
      <c r="J126" s="86">
        <f>7925.29/1000</f>
        <v>7.9252900000000004</v>
      </c>
      <c r="K126" s="33"/>
      <c r="L126" s="33"/>
      <c r="M126" s="33"/>
      <c r="N126" s="33"/>
      <c r="O126" s="33"/>
      <c r="P126" s="33"/>
      <c r="Q126" s="33"/>
      <c r="R126" s="33"/>
      <c r="S126" s="33"/>
      <c r="T126" s="33"/>
    </row>
    <row r="127" spans="1:20" ht="30" customHeight="1" x14ac:dyDescent="0.25">
      <c r="A127" s="115"/>
      <c r="B127" s="115" t="s">
        <v>155</v>
      </c>
      <c r="C127" s="115"/>
      <c r="D127" s="115"/>
      <c r="E127" s="86">
        <f>+G127</f>
        <v>5.4655444878957198</v>
      </c>
      <c r="F127" s="86"/>
      <c r="G127" s="86">
        <f>5465.54448789572/1000</f>
        <v>5.4655444878957198</v>
      </c>
      <c r="H127" s="86"/>
      <c r="I127" s="86"/>
      <c r="J127" s="86"/>
      <c r="K127" s="33"/>
      <c r="L127" s="33"/>
      <c r="M127" s="33"/>
      <c r="N127" s="33"/>
      <c r="O127" s="33"/>
      <c r="P127" s="33"/>
      <c r="Q127" s="33"/>
      <c r="R127" s="33"/>
      <c r="S127" s="33"/>
      <c r="T127" s="33"/>
    </row>
    <row r="128" spans="1:20" ht="30" customHeight="1" x14ac:dyDescent="0.25">
      <c r="A128" s="115" t="s">
        <v>36</v>
      </c>
      <c r="B128" s="115" t="s">
        <v>28</v>
      </c>
      <c r="C128" s="115"/>
      <c r="D128" s="115"/>
      <c r="E128" s="86">
        <f t="shared" si="5"/>
        <v>89.698058105176102</v>
      </c>
      <c r="F128" s="86"/>
      <c r="G128" s="86">
        <v>89.698058105176102</v>
      </c>
      <c r="H128" s="86">
        <f t="shared" si="6"/>
        <v>20.98903</v>
      </c>
      <c r="I128" s="86"/>
      <c r="J128" s="86">
        <v>20.98903</v>
      </c>
      <c r="K128" s="33"/>
      <c r="L128" s="33"/>
      <c r="M128" s="33"/>
      <c r="N128" s="33"/>
      <c r="O128" s="33"/>
      <c r="P128" s="33"/>
      <c r="Q128" s="33"/>
      <c r="R128" s="33"/>
      <c r="S128" s="33"/>
      <c r="T128" s="33"/>
    </row>
    <row r="129" spans="1:20" ht="30" customHeight="1" x14ac:dyDescent="0.25">
      <c r="A129" s="115"/>
      <c r="B129" s="115" t="s">
        <v>33</v>
      </c>
      <c r="C129" s="115"/>
      <c r="D129" s="115"/>
      <c r="E129" s="86">
        <f t="shared" si="5"/>
        <v>30.628239946800601</v>
      </c>
      <c r="F129" s="86"/>
      <c r="G129" s="86">
        <v>30.628239946800601</v>
      </c>
      <c r="H129" s="86">
        <f t="shared" si="6"/>
        <v>35.581060000000001</v>
      </c>
      <c r="I129" s="86"/>
      <c r="J129" s="86">
        <v>35.581060000000001</v>
      </c>
      <c r="K129" s="33"/>
      <c r="L129" s="33"/>
      <c r="M129" s="33"/>
      <c r="N129" s="33"/>
      <c r="O129" s="33"/>
      <c r="P129" s="33"/>
      <c r="Q129" s="33"/>
      <c r="R129" s="33"/>
      <c r="S129" s="33"/>
      <c r="T129" s="33"/>
    </row>
    <row r="130" spans="1:20" ht="30" customHeight="1" x14ac:dyDescent="0.25">
      <c r="A130" s="115"/>
      <c r="B130" s="115" t="s">
        <v>34</v>
      </c>
      <c r="C130" s="115"/>
      <c r="D130" s="115"/>
      <c r="E130" s="86">
        <f t="shared" si="5"/>
        <v>27.840310536729699</v>
      </c>
      <c r="F130" s="86"/>
      <c r="G130" s="86">
        <v>27.840310536729699</v>
      </c>
      <c r="H130" s="86">
        <f t="shared" si="6"/>
        <v>20.352430000000002</v>
      </c>
      <c r="I130" s="86"/>
      <c r="J130" s="86">
        <v>20.352430000000002</v>
      </c>
      <c r="K130" s="33"/>
      <c r="L130" s="33"/>
      <c r="M130" s="33"/>
      <c r="N130" s="33"/>
      <c r="O130" s="33"/>
      <c r="P130" s="33"/>
      <c r="Q130" s="33"/>
      <c r="R130" s="33"/>
      <c r="S130" s="33"/>
      <c r="T130" s="33"/>
    </row>
    <row r="131" spans="1:20" ht="30" customHeight="1" x14ac:dyDescent="0.25">
      <c r="A131" s="115"/>
      <c r="B131" s="115" t="s">
        <v>218</v>
      </c>
      <c r="C131" s="115"/>
      <c r="D131" s="115"/>
      <c r="E131" s="86">
        <f>+G131</f>
        <v>68.604606171818006</v>
      </c>
      <c r="F131" s="86"/>
      <c r="G131" s="86">
        <f>68604.606171818/1000</f>
        <v>68.604606171818006</v>
      </c>
      <c r="H131" s="86">
        <f>+J131</f>
        <v>141.58918</v>
      </c>
      <c r="I131" s="86"/>
      <c r="J131" s="86">
        <f>141589.18/1000</f>
        <v>141.58918</v>
      </c>
      <c r="K131" s="33"/>
      <c r="L131" s="33"/>
      <c r="M131" s="33"/>
      <c r="N131" s="33"/>
      <c r="O131" s="33"/>
      <c r="P131" s="33"/>
      <c r="Q131" s="33"/>
      <c r="R131" s="33"/>
      <c r="S131" s="33"/>
      <c r="T131" s="33"/>
    </row>
    <row r="132" spans="1:20" ht="30" customHeight="1" x14ac:dyDescent="0.25">
      <c r="A132" s="115"/>
      <c r="B132" s="115" t="s">
        <v>178</v>
      </c>
      <c r="C132" s="115"/>
      <c r="D132" s="115"/>
      <c r="E132" s="86">
        <f>+G132</f>
        <v>124.91047985470099</v>
      </c>
      <c r="F132" s="86"/>
      <c r="G132" s="86">
        <f>124910.479854701/1000</f>
        <v>124.91047985470099</v>
      </c>
      <c r="H132" s="86">
        <f>+J132</f>
        <v>121.59783999999999</v>
      </c>
      <c r="I132" s="86"/>
      <c r="J132" s="86">
        <f>121597.84/1000</f>
        <v>121.59783999999999</v>
      </c>
      <c r="K132" s="33"/>
      <c r="L132" s="33"/>
      <c r="M132" s="33"/>
      <c r="N132" s="33"/>
      <c r="O132" s="33"/>
      <c r="P132" s="33"/>
      <c r="Q132" s="33"/>
      <c r="R132" s="33"/>
      <c r="S132" s="33"/>
      <c r="T132" s="33"/>
    </row>
    <row r="133" spans="1:20" ht="30" customHeight="1" x14ac:dyDescent="0.25">
      <c r="A133" s="115"/>
      <c r="B133" s="115" t="s">
        <v>155</v>
      </c>
      <c r="C133" s="115"/>
      <c r="D133" s="115"/>
      <c r="E133" s="86">
        <f>+G133</f>
        <v>134.11738418940999</v>
      </c>
      <c r="F133" s="86"/>
      <c r="G133" s="86">
        <f>134117.38418941/1000</f>
        <v>134.11738418940999</v>
      </c>
      <c r="H133" s="86">
        <f>+J133</f>
        <v>135.70007999999999</v>
      </c>
      <c r="I133" s="86"/>
      <c r="J133" s="86">
        <f>135700.08/1000</f>
        <v>135.70007999999999</v>
      </c>
      <c r="K133" s="33"/>
      <c r="L133" s="33"/>
      <c r="M133" s="33"/>
      <c r="N133" s="33"/>
      <c r="O133" s="33"/>
      <c r="P133" s="33"/>
      <c r="Q133" s="33"/>
      <c r="R133" s="33"/>
      <c r="S133" s="33"/>
      <c r="T133" s="33"/>
    </row>
    <row r="134" spans="1:20" ht="30" customHeight="1" x14ac:dyDescent="0.25">
      <c r="A134" s="119" t="s">
        <v>64</v>
      </c>
      <c r="B134" s="69" t="s">
        <v>84</v>
      </c>
      <c r="C134" s="69" t="s">
        <v>85</v>
      </c>
      <c r="D134" s="95">
        <f>1567539.58/1000</f>
        <v>1567.5395800000001</v>
      </c>
      <c r="E134" s="21">
        <f>G134</f>
        <v>1567.5395800000001</v>
      </c>
      <c r="F134" s="92" t="s">
        <v>86</v>
      </c>
      <c r="G134" s="21">
        <f>1567539.58/1000</f>
        <v>1567.5395800000001</v>
      </c>
      <c r="H134" s="21"/>
      <c r="I134" s="21"/>
      <c r="J134" s="21"/>
      <c r="K134" s="33"/>
      <c r="L134" s="33"/>
      <c r="M134" s="33"/>
      <c r="N134" s="33"/>
      <c r="O134" s="33"/>
      <c r="P134" s="33"/>
      <c r="Q134" s="33"/>
      <c r="R134" s="33"/>
      <c r="S134" s="33"/>
      <c r="T134" s="33"/>
    </row>
    <row r="135" spans="1:20" ht="30" customHeight="1" x14ac:dyDescent="0.25">
      <c r="A135" s="119"/>
      <c r="B135" s="119" t="s">
        <v>28</v>
      </c>
      <c r="C135" s="119"/>
      <c r="D135" s="119"/>
      <c r="E135" s="21">
        <f t="shared" si="5"/>
        <v>99.889680999999996</v>
      </c>
      <c r="F135" s="21"/>
      <c r="G135" s="21">
        <f>99889.681/1000</f>
        <v>99.889680999999996</v>
      </c>
      <c r="H135" s="21">
        <f t="shared" si="6"/>
        <v>21.92041</v>
      </c>
      <c r="I135" s="21"/>
      <c r="J135" s="21">
        <v>21.92041</v>
      </c>
      <c r="K135" s="33"/>
      <c r="L135" s="33"/>
      <c r="M135" s="33"/>
      <c r="N135" s="33"/>
      <c r="O135" s="33"/>
      <c r="P135" s="33"/>
      <c r="Q135" s="33"/>
      <c r="R135" s="33"/>
      <c r="S135" s="33"/>
      <c r="T135" s="33"/>
    </row>
    <row r="136" spans="1:20" ht="30" customHeight="1" x14ac:dyDescent="0.25">
      <c r="A136" s="119"/>
      <c r="B136" s="119" t="s">
        <v>33</v>
      </c>
      <c r="C136" s="119"/>
      <c r="D136" s="119"/>
      <c r="E136" s="21">
        <f t="shared" si="5"/>
        <v>29.069403771373398</v>
      </c>
      <c r="F136" s="21"/>
      <c r="G136" s="21">
        <v>29.069403771373398</v>
      </c>
      <c r="H136" s="21">
        <f t="shared" si="6"/>
        <v>29.953409999999998</v>
      </c>
      <c r="I136" s="21"/>
      <c r="J136" s="21">
        <v>29.953409999999998</v>
      </c>
      <c r="K136" s="33"/>
      <c r="L136" s="33"/>
      <c r="M136" s="33"/>
      <c r="N136" s="33"/>
      <c r="O136" s="33"/>
      <c r="P136" s="33"/>
      <c r="Q136" s="33"/>
      <c r="R136" s="33"/>
      <c r="S136" s="33"/>
      <c r="T136" s="33"/>
    </row>
    <row r="137" spans="1:20" ht="30" customHeight="1" x14ac:dyDescent="0.25">
      <c r="A137" s="119"/>
      <c r="B137" s="119" t="s">
        <v>34</v>
      </c>
      <c r="C137" s="119"/>
      <c r="D137" s="119"/>
      <c r="E137" s="21">
        <f t="shared" si="5"/>
        <v>19.144577088132301</v>
      </c>
      <c r="F137" s="21"/>
      <c r="G137" s="21">
        <v>19.144577088132301</v>
      </c>
      <c r="H137" s="21">
        <f t="shared" si="6"/>
        <v>4.0282099999999996</v>
      </c>
      <c r="I137" s="21"/>
      <c r="J137" s="21">
        <v>4.0282099999999996</v>
      </c>
      <c r="K137" s="33"/>
      <c r="L137" s="33"/>
      <c r="M137" s="33"/>
      <c r="N137" s="33"/>
      <c r="O137" s="33"/>
      <c r="P137" s="33"/>
      <c r="Q137" s="33"/>
      <c r="R137" s="33"/>
      <c r="S137" s="33"/>
      <c r="T137" s="33"/>
    </row>
    <row r="138" spans="1:20" ht="30" customHeight="1" x14ac:dyDescent="0.25">
      <c r="A138" s="119"/>
      <c r="B138" s="115" t="s">
        <v>218</v>
      </c>
      <c r="C138" s="115"/>
      <c r="D138" s="115"/>
      <c r="E138" s="86">
        <f>+G138</f>
        <v>62.855643748317995</v>
      </c>
      <c r="F138" s="86"/>
      <c r="G138" s="86">
        <f>62855.643748318/1000</f>
        <v>62.855643748317995</v>
      </c>
      <c r="H138" s="86">
        <f>+J138</f>
        <v>155.06949</v>
      </c>
      <c r="I138" s="86"/>
      <c r="J138" s="86">
        <f>155069.49/1000</f>
        <v>155.06949</v>
      </c>
      <c r="K138" s="33"/>
      <c r="L138" s="33"/>
      <c r="M138" s="33"/>
      <c r="N138" s="33"/>
      <c r="O138" s="33"/>
      <c r="P138" s="33"/>
      <c r="Q138" s="33"/>
      <c r="R138" s="33"/>
      <c r="S138" s="33"/>
      <c r="T138" s="33"/>
    </row>
    <row r="139" spans="1:20" ht="30" customHeight="1" x14ac:dyDescent="0.25">
      <c r="A139" s="119"/>
      <c r="B139" s="115" t="s">
        <v>178</v>
      </c>
      <c r="C139" s="115"/>
      <c r="D139" s="115"/>
      <c r="E139" s="86">
        <f>+G139</f>
        <v>116.912105796869</v>
      </c>
      <c r="F139" s="86"/>
      <c r="G139" s="86">
        <f>116912.105796869/1000</f>
        <v>116.912105796869</v>
      </c>
      <c r="H139" s="86">
        <f>+J139</f>
        <v>69.239800000000002</v>
      </c>
      <c r="I139" s="86"/>
      <c r="J139" s="86">
        <f>69239.8/1000</f>
        <v>69.239800000000002</v>
      </c>
      <c r="K139" s="33"/>
      <c r="L139" s="33"/>
      <c r="M139" s="33"/>
      <c r="N139" s="33"/>
      <c r="O139" s="33"/>
      <c r="P139" s="33"/>
      <c r="Q139" s="33"/>
      <c r="R139" s="33"/>
      <c r="S139" s="33"/>
      <c r="T139" s="33"/>
    </row>
    <row r="140" spans="1:20" ht="30" customHeight="1" x14ac:dyDescent="0.25">
      <c r="A140" s="119"/>
      <c r="B140" s="115" t="s">
        <v>155</v>
      </c>
      <c r="C140" s="115"/>
      <c r="D140" s="115"/>
      <c r="E140" s="86">
        <f>+G140</f>
        <v>61.075214338063404</v>
      </c>
      <c r="F140" s="86"/>
      <c r="G140" s="86">
        <f>61075.2143380634/1000</f>
        <v>61.075214338063404</v>
      </c>
      <c r="H140" s="86">
        <f>+J140</f>
        <v>37.00752</v>
      </c>
      <c r="I140" s="86"/>
      <c r="J140" s="86">
        <f>37007.52/1000</f>
        <v>37.00752</v>
      </c>
      <c r="K140" s="33"/>
      <c r="L140" s="33"/>
      <c r="M140" s="33"/>
      <c r="N140" s="33"/>
      <c r="O140" s="33"/>
      <c r="P140" s="33"/>
      <c r="Q140" s="33"/>
      <c r="R140" s="33"/>
      <c r="S140" s="33"/>
      <c r="T140" s="33"/>
    </row>
    <row r="141" spans="1:20" ht="50.25" customHeight="1" x14ac:dyDescent="0.25">
      <c r="A141" s="115" t="s">
        <v>27</v>
      </c>
      <c r="B141" s="115" t="s">
        <v>39</v>
      </c>
      <c r="C141" s="115" t="s">
        <v>40</v>
      </c>
      <c r="D141" s="122">
        <v>72267.362829999998</v>
      </c>
      <c r="E141" s="86">
        <f t="shared" ref="E141:E157" si="7">G141</f>
        <v>4857.8774000000003</v>
      </c>
      <c r="F141" s="74" t="s">
        <v>94</v>
      </c>
      <c r="G141" s="86">
        <f>4857877.4/1000</f>
        <v>4857.8774000000003</v>
      </c>
      <c r="H141" s="78">
        <f>J141</f>
        <v>1681.4204159999999</v>
      </c>
      <c r="I141" s="96" t="s">
        <v>122</v>
      </c>
      <c r="J141" s="78">
        <f>1401183.68*1.2/1000</f>
        <v>1681.4204159999999</v>
      </c>
      <c r="K141" s="33"/>
      <c r="L141" s="33"/>
      <c r="M141" s="33"/>
      <c r="N141" s="33"/>
      <c r="O141" s="33"/>
      <c r="P141" s="33"/>
      <c r="Q141" s="33"/>
      <c r="R141" s="33"/>
      <c r="S141" s="33"/>
      <c r="T141" s="33"/>
    </row>
    <row r="142" spans="1:20" ht="53.25" customHeight="1" x14ac:dyDescent="0.25">
      <c r="A142" s="115"/>
      <c r="B142" s="115"/>
      <c r="C142" s="115"/>
      <c r="D142" s="122"/>
      <c r="E142" s="86">
        <f t="shared" si="7"/>
        <v>783.49063999999998</v>
      </c>
      <c r="F142" s="74" t="s">
        <v>96</v>
      </c>
      <c r="G142" s="86">
        <f>783490.64/1000</f>
        <v>783.49063999999998</v>
      </c>
      <c r="H142" s="78">
        <f>J142</f>
        <v>2034.0894479999999</v>
      </c>
      <c r="I142" s="96" t="s">
        <v>125</v>
      </c>
      <c r="J142" s="78">
        <f>1695074.54*1.2/1000</f>
        <v>2034.0894479999999</v>
      </c>
      <c r="K142" s="59"/>
      <c r="L142" s="33"/>
      <c r="M142" s="33"/>
      <c r="N142" s="33"/>
      <c r="O142" s="33"/>
      <c r="P142" s="33"/>
      <c r="Q142" s="33"/>
      <c r="R142" s="33"/>
      <c r="S142" s="33"/>
      <c r="T142" s="33"/>
    </row>
    <row r="143" spans="1:20" ht="49.5" customHeight="1" x14ac:dyDescent="0.25">
      <c r="A143" s="115"/>
      <c r="B143" s="115"/>
      <c r="C143" s="115"/>
      <c r="D143" s="122"/>
      <c r="E143" s="86">
        <f t="shared" si="7"/>
        <v>7941.7589500000004</v>
      </c>
      <c r="F143" s="74" t="s">
        <v>100</v>
      </c>
      <c r="G143" s="86">
        <f>7941758.95/1000</f>
        <v>7941.7589500000004</v>
      </c>
      <c r="H143" s="78">
        <f>J143</f>
        <v>973.79129999999998</v>
      </c>
      <c r="I143" s="96" t="s">
        <v>127</v>
      </c>
      <c r="J143" s="78">
        <f>811492.75*1.2/1000</f>
        <v>973.79129999999998</v>
      </c>
      <c r="K143" s="59"/>
      <c r="L143" s="33"/>
      <c r="M143" s="33"/>
      <c r="N143" s="33"/>
      <c r="O143" s="33"/>
      <c r="P143" s="33"/>
      <c r="Q143" s="33"/>
      <c r="R143" s="33"/>
      <c r="S143" s="33"/>
      <c r="T143" s="33"/>
    </row>
    <row r="144" spans="1:20" ht="57" x14ac:dyDescent="0.25">
      <c r="A144" s="115"/>
      <c r="B144" s="115"/>
      <c r="C144" s="115"/>
      <c r="D144" s="122"/>
      <c r="E144" s="86">
        <f t="shared" si="7"/>
        <v>4082.6730699999998</v>
      </c>
      <c r="F144" s="74" t="s">
        <v>101</v>
      </c>
      <c r="G144" s="86">
        <f>4082673.07/1000</f>
        <v>4082.6730699999998</v>
      </c>
      <c r="H144" s="78">
        <f>J144</f>
        <v>-231.78206399999999</v>
      </c>
      <c r="I144" s="96" t="s">
        <v>130</v>
      </c>
      <c r="J144" s="78">
        <f>-193151.72*1.2/1000</f>
        <v>-231.78206399999999</v>
      </c>
      <c r="K144" s="59"/>
      <c r="L144" s="33"/>
      <c r="M144" s="33"/>
      <c r="N144" s="33"/>
      <c r="O144" s="33"/>
      <c r="P144" s="33"/>
      <c r="Q144" s="33"/>
      <c r="R144" s="33"/>
      <c r="S144" s="33"/>
      <c r="T144" s="33"/>
    </row>
    <row r="145" spans="1:20" ht="51.75" customHeight="1" x14ac:dyDescent="0.25">
      <c r="A145" s="115"/>
      <c r="B145" s="115"/>
      <c r="C145" s="115"/>
      <c r="D145" s="122"/>
      <c r="E145" s="86">
        <f t="shared" si="7"/>
        <v>6688.2976900000003</v>
      </c>
      <c r="F145" s="74" t="s">
        <v>102</v>
      </c>
      <c r="G145" s="86">
        <f>6688297.69/1000</f>
        <v>6688.2976900000003</v>
      </c>
      <c r="H145" s="78">
        <f>J145</f>
        <v>1016.0223119999999</v>
      </c>
      <c r="I145" s="96" t="s">
        <v>129</v>
      </c>
      <c r="J145" s="78">
        <f>846685.26*1.2/1000</f>
        <v>1016.0223119999999</v>
      </c>
      <c r="K145" s="59"/>
      <c r="L145" s="33"/>
      <c r="M145" s="33"/>
      <c r="N145" s="33"/>
      <c r="O145" s="33"/>
      <c r="P145" s="33"/>
      <c r="Q145" s="33"/>
      <c r="R145" s="33"/>
      <c r="S145" s="33"/>
      <c r="T145" s="33"/>
    </row>
    <row r="146" spans="1:20" ht="44.25" customHeight="1" x14ac:dyDescent="0.25">
      <c r="A146" s="115"/>
      <c r="B146" s="115"/>
      <c r="C146" s="115"/>
      <c r="D146" s="122"/>
      <c r="E146" s="86">
        <f t="shared" si="7"/>
        <v>1681.4204199999999</v>
      </c>
      <c r="F146" s="74" t="s">
        <v>113</v>
      </c>
      <c r="G146" s="86">
        <f>1681420.42/1000</f>
        <v>1681.4204199999999</v>
      </c>
      <c r="H146" s="78">
        <f t="shared" ref="H146:H151" si="8">+J146</f>
        <v>88.203984000000005</v>
      </c>
      <c r="I146" s="96" t="s">
        <v>185</v>
      </c>
      <c r="J146" s="78">
        <f>73503.32*1.2/1000</f>
        <v>88.203984000000005</v>
      </c>
      <c r="K146" s="59"/>
      <c r="L146" s="33"/>
      <c r="M146" s="33"/>
      <c r="N146" s="33"/>
      <c r="O146" s="33"/>
      <c r="P146" s="33"/>
      <c r="Q146" s="33"/>
      <c r="R146" s="33"/>
      <c r="S146" s="33"/>
      <c r="T146" s="33"/>
    </row>
    <row r="147" spans="1:20" ht="46.5" customHeight="1" x14ac:dyDescent="0.25">
      <c r="A147" s="115"/>
      <c r="B147" s="84"/>
      <c r="C147" s="84"/>
      <c r="D147" s="75"/>
      <c r="E147" s="86">
        <f>+G147</f>
        <v>11.756069999999999</v>
      </c>
      <c r="F147" s="74" t="s">
        <v>144</v>
      </c>
      <c r="G147" s="86">
        <f>11756.07/1000</f>
        <v>11.756069999999999</v>
      </c>
      <c r="H147" s="78">
        <f t="shared" si="8"/>
        <v>38.578319999999998</v>
      </c>
      <c r="I147" s="96" t="s">
        <v>186</v>
      </c>
      <c r="J147" s="78">
        <f>32148.6/1000*1.2</f>
        <v>38.578319999999998</v>
      </c>
      <c r="K147" s="59"/>
      <c r="L147" s="33"/>
      <c r="M147" s="33"/>
      <c r="N147" s="33"/>
      <c r="O147" s="33"/>
      <c r="P147" s="33"/>
      <c r="Q147" s="33"/>
      <c r="R147" s="33"/>
      <c r="S147" s="33"/>
      <c r="T147" s="33"/>
    </row>
    <row r="148" spans="1:20" ht="48" customHeight="1" x14ac:dyDescent="0.25">
      <c r="A148" s="115"/>
      <c r="B148" s="84"/>
      <c r="C148" s="84"/>
      <c r="D148" s="75"/>
      <c r="E148" s="86"/>
      <c r="F148" s="74"/>
      <c r="G148" s="86"/>
      <c r="H148" s="78">
        <f t="shared" si="8"/>
        <v>687.36409199999991</v>
      </c>
      <c r="I148" s="96" t="s">
        <v>187</v>
      </c>
      <c r="J148" s="78">
        <f>572803.41/1000*1.2</f>
        <v>687.36409199999991</v>
      </c>
      <c r="K148" s="59"/>
      <c r="L148" s="33"/>
      <c r="M148" s="33"/>
      <c r="N148" s="33"/>
      <c r="O148" s="33"/>
      <c r="P148" s="33"/>
      <c r="Q148" s="33"/>
      <c r="R148" s="33"/>
      <c r="S148" s="33"/>
      <c r="T148" s="33"/>
    </row>
    <row r="149" spans="1:20" ht="47.25" customHeight="1" x14ac:dyDescent="0.25">
      <c r="A149" s="115"/>
      <c r="B149" s="84"/>
      <c r="C149" s="84"/>
      <c r="D149" s="75"/>
      <c r="E149" s="86">
        <f>+G149</f>
        <v>784.24024999999995</v>
      </c>
      <c r="F149" s="74" t="s">
        <v>165</v>
      </c>
      <c r="G149" s="86">
        <f>784240.25/1000</f>
        <v>784.24024999999995</v>
      </c>
      <c r="H149" s="78">
        <f t="shared" si="8"/>
        <v>2473.9982279999995</v>
      </c>
      <c r="I149" s="96" t="s">
        <v>183</v>
      </c>
      <c r="J149" s="78">
        <f>2061665.19*1.2/1000</f>
        <v>2473.9982279999995</v>
      </c>
      <c r="K149" s="59"/>
      <c r="L149" s="33"/>
      <c r="M149" s="33"/>
      <c r="N149" s="33"/>
      <c r="O149" s="33"/>
      <c r="P149" s="33"/>
      <c r="Q149" s="33"/>
      <c r="R149" s="33"/>
      <c r="S149" s="33"/>
      <c r="T149" s="33"/>
    </row>
    <row r="150" spans="1:20" ht="46.5" customHeight="1" x14ac:dyDescent="0.25">
      <c r="A150" s="115"/>
      <c r="B150" s="84"/>
      <c r="C150" s="84"/>
      <c r="D150" s="75"/>
      <c r="E150" s="86">
        <f>+G150</f>
        <v>2034.0894499999999</v>
      </c>
      <c r="F150" s="74" t="s">
        <v>210</v>
      </c>
      <c r="G150" s="86">
        <f>2034089.45/1000</f>
        <v>2034.0894499999999</v>
      </c>
      <c r="H150" s="78">
        <f t="shared" si="8"/>
        <v>203.584464</v>
      </c>
      <c r="I150" s="96" t="s">
        <v>184</v>
      </c>
      <c r="J150" s="78">
        <f>169653.72*1.2/1000</f>
        <v>203.584464</v>
      </c>
      <c r="K150" s="59"/>
      <c r="L150" s="33"/>
      <c r="M150" s="33"/>
      <c r="N150" s="33"/>
      <c r="O150" s="33"/>
      <c r="P150" s="33"/>
      <c r="Q150" s="33"/>
      <c r="R150" s="33"/>
      <c r="S150" s="33"/>
      <c r="T150" s="33"/>
    </row>
    <row r="151" spans="1:20" ht="46.5" customHeight="1" x14ac:dyDescent="0.25">
      <c r="A151" s="115"/>
      <c r="B151" s="84"/>
      <c r="C151" s="84"/>
      <c r="D151" s="75"/>
      <c r="E151" s="86">
        <f>+G151</f>
        <v>973.79130000000009</v>
      </c>
      <c r="F151" s="74" t="s">
        <v>211</v>
      </c>
      <c r="G151" s="86">
        <f>973791.3/1000</f>
        <v>973.79130000000009</v>
      </c>
      <c r="H151" s="78">
        <f t="shared" si="8"/>
        <v>11.756063999999999</v>
      </c>
      <c r="I151" s="96" t="s">
        <v>223</v>
      </c>
      <c r="J151" s="78">
        <f>9796.72/1000*1.2</f>
        <v>11.756063999999999</v>
      </c>
      <c r="K151" s="59"/>
      <c r="L151" s="33"/>
      <c r="M151" s="33"/>
      <c r="N151" s="33"/>
      <c r="O151" s="33"/>
      <c r="P151" s="33"/>
      <c r="Q151" s="33"/>
      <c r="R151" s="33"/>
      <c r="S151" s="33"/>
      <c r="T151" s="33"/>
    </row>
    <row r="152" spans="1:20" ht="60" customHeight="1" x14ac:dyDescent="0.25">
      <c r="A152" s="115"/>
      <c r="B152" s="84" t="s">
        <v>97</v>
      </c>
      <c r="C152" s="84" t="s">
        <v>98</v>
      </c>
      <c r="D152" s="84"/>
      <c r="E152" s="86">
        <f t="shared" si="7"/>
        <v>193.55206000000001</v>
      </c>
      <c r="F152" s="74" t="s">
        <v>99</v>
      </c>
      <c r="G152" s="86">
        <f>193552.06/1000</f>
        <v>193.55206000000001</v>
      </c>
      <c r="H152" s="86"/>
      <c r="I152" s="86"/>
      <c r="J152" s="86"/>
      <c r="K152" s="33"/>
      <c r="L152" s="33"/>
      <c r="M152" s="33"/>
      <c r="N152" s="33"/>
      <c r="O152" s="33"/>
      <c r="P152" s="33"/>
      <c r="Q152" s="33"/>
      <c r="R152" s="33"/>
      <c r="S152" s="33"/>
      <c r="T152" s="33"/>
    </row>
    <row r="153" spans="1:20" ht="60" customHeight="1" x14ac:dyDescent="0.25">
      <c r="A153" s="115"/>
      <c r="B153" s="84" t="s">
        <v>111</v>
      </c>
      <c r="C153" s="84" t="s">
        <v>112</v>
      </c>
      <c r="D153" s="84"/>
      <c r="E153" s="86">
        <f t="shared" si="7"/>
        <v>26.342435999999999</v>
      </c>
      <c r="F153" s="74" t="s">
        <v>135</v>
      </c>
      <c r="G153" s="86">
        <f>21952.03*1.2/1000</f>
        <v>26.342435999999999</v>
      </c>
      <c r="H153" s="86"/>
      <c r="I153" s="86"/>
      <c r="J153" s="86"/>
      <c r="K153" s="33"/>
      <c r="L153" s="33"/>
      <c r="M153" s="33"/>
      <c r="N153" s="33"/>
      <c r="O153" s="33"/>
      <c r="P153" s="33"/>
      <c r="Q153" s="33"/>
      <c r="R153" s="33"/>
      <c r="S153" s="33"/>
      <c r="T153" s="33"/>
    </row>
    <row r="154" spans="1:20" ht="60" customHeight="1" x14ac:dyDescent="0.25">
      <c r="A154" s="115"/>
      <c r="B154" s="84" t="s">
        <v>207</v>
      </c>
      <c r="C154" s="84" t="s">
        <v>229</v>
      </c>
      <c r="D154" s="84">
        <v>7.3468999999999998</v>
      </c>
      <c r="E154" s="86">
        <f>+G154</f>
        <v>7.3468999999999998</v>
      </c>
      <c r="F154" s="74" t="s">
        <v>208</v>
      </c>
      <c r="G154" s="86">
        <f>7346.9/1000</f>
        <v>7.3468999999999998</v>
      </c>
      <c r="H154" s="86"/>
      <c r="I154" s="86"/>
      <c r="J154" s="86"/>
      <c r="K154" s="33"/>
      <c r="L154" s="33"/>
      <c r="M154" s="33"/>
      <c r="N154" s="33"/>
      <c r="O154" s="33"/>
      <c r="P154" s="33"/>
      <c r="Q154" s="33"/>
      <c r="R154" s="33"/>
      <c r="S154" s="33"/>
      <c r="T154" s="33"/>
    </row>
    <row r="155" spans="1:20" ht="30" customHeight="1" x14ac:dyDescent="0.25">
      <c r="A155" s="115"/>
      <c r="B155" s="118" t="s">
        <v>87</v>
      </c>
      <c r="C155" s="118"/>
      <c r="D155" s="118"/>
      <c r="E155" s="78">
        <f t="shared" si="7"/>
        <v>321.33140999999995</v>
      </c>
      <c r="F155" s="87" t="s">
        <v>70</v>
      </c>
      <c r="G155" s="75">
        <f>321331.41/1000</f>
        <v>321.33140999999995</v>
      </c>
      <c r="H155" s="78">
        <f>J155</f>
        <v>321.33140999999995</v>
      </c>
      <c r="I155" s="87" t="s">
        <v>70</v>
      </c>
      <c r="J155" s="75">
        <f>321331.41/1000</f>
        <v>321.33140999999995</v>
      </c>
      <c r="K155" s="33"/>
      <c r="L155" s="33"/>
      <c r="M155" s="33"/>
      <c r="N155" s="33"/>
      <c r="O155" s="33"/>
      <c r="P155" s="33"/>
      <c r="Q155" s="33"/>
      <c r="R155" s="33"/>
      <c r="S155" s="33"/>
      <c r="T155" s="33"/>
    </row>
    <row r="156" spans="1:20" ht="30" customHeight="1" x14ac:dyDescent="0.25">
      <c r="A156" s="115"/>
      <c r="B156" s="118" t="s">
        <v>105</v>
      </c>
      <c r="C156" s="118"/>
      <c r="D156" s="118"/>
      <c r="E156" s="78">
        <f t="shared" si="7"/>
        <v>320.22381000000001</v>
      </c>
      <c r="F156" s="87" t="s">
        <v>70</v>
      </c>
      <c r="G156" s="75">
        <v>320.22381000000001</v>
      </c>
      <c r="H156" s="78">
        <f>J156</f>
        <v>320.22381000000001</v>
      </c>
      <c r="I156" s="87" t="s">
        <v>70</v>
      </c>
      <c r="J156" s="75">
        <f>320223.81/1000</f>
        <v>320.22381000000001</v>
      </c>
      <c r="K156" s="33"/>
      <c r="L156" s="33"/>
      <c r="M156" s="33"/>
      <c r="N156" s="33"/>
      <c r="O156" s="33"/>
      <c r="P156" s="33"/>
      <c r="Q156" s="33"/>
      <c r="R156" s="33"/>
      <c r="S156" s="33"/>
      <c r="T156" s="33"/>
    </row>
    <row r="157" spans="1:20" ht="30" customHeight="1" x14ac:dyDescent="0.25">
      <c r="A157" s="115"/>
      <c r="B157" s="118" t="s">
        <v>118</v>
      </c>
      <c r="C157" s="118"/>
      <c r="D157" s="118"/>
      <c r="E157" s="78">
        <f t="shared" si="7"/>
        <v>499.43596000000002</v>
      </c>
      <c r="F157" s="87" t="s">
        <v>70</v>
      </c>
      <c r="G157" s="75">
        <f>499435.96/1000</f>
        <v>499.43596000000002</v>
      </c>
      <c r="H157" s="78">
        <f>J157</f>
        <v>499.43596000000002</v>
      </c>
      <c r="I157" s="87" t="s">
        <v>70</v>
      </c>
      <c r="J157" s="75">
        <f>499435.96/1000</f>
        <v>499.43596000000002</v>
      </c>
      <c r="K157" s="33"/>
      <c r="L157" s="33"/>
      <c r="M157" s="33"/>
      <c r="N157" s="33"/>
      <c r="O157" s="33"/>
      <c r="P157" s="33"/>
      <c r="Q157" s="33"/>
      <c r="R157" s="33"/>
      <c r="S157" s="33"/>
      <c r="T157" s="33"/>
    </row>
    <row r="158" spans="1:20" ht="30" customHeight="1" x14ac:dyDescent="0.25">
      <c r="A158" s="115"/>
      <c r="B158" s="118" t="s">
        <v>215</v>
      </c>
      <c r="C158" s="118"/>
      <c r="D158" s="118"/>
      <c r="E158" s="78">
        <f>+G158</f>
        <v>492.59264000000002</v>
      </c>
      <c r="F158" s="87" t="s">
        <v>70</v>
      </c>
      <c r="G158" s="75">
        <v>492.59264000000002</v>
      </c>
      <c r="H158" s="78">
        <f>+J158</f>
        <v>492.59264000000002</v>
      </c>
      <c r="I158" s="87" t="s">
        <v>70</v>
      </c>
      <c r="J158" s="75">
        <f>492592.64/1000</f>
        <v>492.59264000000002</v>
      </c>
      <c r="K158" s="33"/>
      <c r="L158" s="33"/>
      <c r="M158" s="33"/>
      <c r="N158" s="33"/>
      <c r="O158" s="33"/>
      <c r="P158" s="33"/>
      <c r="Q158" s="33"/>
      <c r="R158" s="33"/>
      <c r="S158" s="33"/>
      <c r="T158" s="33"/>
    </row>
    <row r="159" spans="1:20" ht="30" customHeight="1" x14ac:dyDescent="0.25">
      <c r="A159" s="115"/>
      <c r="B159" s="118" t="s">
        <v>171</v>
      </c>
      <c r="C159" s="118"/>
      <c r="D159" s="118"/>
      <c r="E159" s="75">
        <f>529423.7/1000</f>
        <v>529.42369999999994</v>
      </c>
      <c r="F159" s="87" t="s">
        <v>172</v>
      </c>
      <c r="G159" s="75">
        <f>529423.7/1000</f>
        <v>529.42369999999994</v>
      </c>
      <c r="H159" s="75">
        <f>529423.7/1000</f>
        <v>529.42369999999994</v>
      </c>
      <c r="I159" s="87" t="s">
        <v>172</v>
      </c>
      <c r="J159" s="75">
        <f>529423.7/1000</f>
        <v>529.42369999999994</v>
      </c>
      <c r="K159" s="33"/>
      <c r="L159" s="33"/>
      <c r="M159" s="33"/>
      <c r="N159" s="33"/>
      <c r="O159" s="33"/>
      <c r="P159" s="33"/>
      <c r="Q159" s="33"/>
      <c r="R159" s="33"/>
      <c r="S159" s="33"/>
      <c r="T159" s="33"/>
    </row>
    <row r="160" spans="1:20" ht="30" customHeight="1" x14ac:dyDescent="0.25">
      <c r="A160" s="115"/>
      <c r="B160" s="118" t="s">
        <v>104</v>
      </c>
      <c r="C160" s="118"/>
      <c r="D160" s="118"/>
      <c r="E160" s="77"/>
      <c r="F160" s="77"/>
      <c r="G160" s="77"/>
      <c r="H160" s="75">
        <f t="shared" ref="H160" si="9">J160</f>
        <v>270.31616400000001</v>
      </c>
      <c r="I160" s="76" t="s">
        <v>70</v>
      </c>
      <c r="J160" s="75">
        <f>225263.47*1.2/1000</f>
        <v>270.31616400000001</v>
      </c>
      <c r="K160" s="33"/>
      <c r="L160" s="33"/>
      <c r="M160" s="33"/>
      <c r="N160" s="33"/>
      <c r="O160" s="33"/>
      <c r="P160" s="33"/>
      <c r="Q160" s="33"/>
      <c r="R160" s="33"/>
      <c r="S160" s="33"/>
      <c r="T160" s="33"/>
    </row>
    <row r="161" spans="1:20" ht="20.25" customHeight="1" x14ac:dyDescent="0.25">
      <c r="A161" s="115"/>
      <c r="B161" s="115" t="s">
        <v>28</v>
      </c>
      <c r="C161" s="115"/>
      <c r="D161" s="115"/>
      <c r="E161" s="86">
        <f>G161</f>
        <v>438.24040300000001</v>
      </c>
      <c r="F161" s="86" t="s">
        <v>70</v>
      </c>
      <c r="G161" s="86">
        <v>438.24040300000001</v>
      </c>
      <c r="H161" s="86">
        <f>J161</f>
        <v>514.88535999999999</v>
      </c>
      <c r="I161" s="76" t="s">
        <v>70</v>
      </c>
      <c r="J161" s="86">
        <f>514885.36/1000</f>
        <v>514.88535999999999</v>
      </c>
      <c r="K161" s="33"/>
      <c r="L161" s="33"/>
      <c r="M161" s="33"/>
      <c r="N161" s="33"/>
      <c r="O161" s="33"/>
      <c r="P161" s="33"/>
      <c r="Q161" s="33"/>
      <c r="R161" s="33"/>
      <c r="S161" s="33"/>
      <c r="T161" s="33"/>
    </row>
    <row r="162" spans="1:20" ht="21" customHeight="1" x14ac:dyDescent="0.25">
      <c r="A162" s="115"/>
      <c r="B162" s="115" t="s">
        <v>33</v>
      </c>
      <c r="C162" s="115"/>
      <c r="D162" s="115"/>
      <c r="E162" s="86">
        <f>G162</f>
        <v>593.39853400000004</v>
      </c>
      <c r="F162" s="86" t="s">
        <v>70</v>
      </c>
      <c r="G162" s="86">
        <f>593398.534/1000</f>
        <v>593.39853400000004</v>
      </c>
      <c r="H162" s="86">
        <f>J162</f>
        <v>482.75650999999999</v>
      </c>
      <c r="I162" s="76" t="s">
        <v>70</v>
      </c>
      <c r="J162" s="86">
        <f>482756.51/1000</f>
        <v>482.75650999999999</v>
      </c>
      <c r="K162" s="33"/>
      <c r="L162" s="33"/>
      <c r="M162" s="33"/>
      <c r="N162" s="33"/>
      <c r="O162" s="33"/>
      <c r="P162" s="33"/>
      <c r="Q162" s="33"/>
      <c r="R162" s="33"/>
      <c r="S162" s="33"/>
      <c r="T162" s="33"/>
    </row>
    <row r="163" spans="1:20" ht="22.5" customHeight="1" x14ac:dyDescent="0.25">
      <c r="A163" s="115"/>
      <c r="B163" s="115" t="s">
        <v>34</v>
      </c>
      <c r="C163" s="115"/>
      <c r="D163" s="115"/>
      <c r="E163" s="86">
        <f>G163</f>
        <v>428.28329500000001</v>
      </c>
      <c r="F163" s="86" t="s">
        <v>70</v>
      </c>
      <c r="G163" s="86">
        <f>428283.295/1000</f>
        <v>428.28329500000001</v>
      </c>
      <c r="H163" s="86">
        <f>J163</f>
        <v>430.47760999999997</v>
      </c>
      <c r="I163" s="76" t="s">
        <v>70</v>
      </c>
      <c r="J163" s="86">
        <f>430477.61/1000</f>
        <v>430.47760999999997</v>
      </c>
      <c r="K163" s="33"/>
      <c r="L163" s="33"/>
      <c r="M163" s="33"/>
      <c r="N163" s="33"/>
      <c r="O163" s="33"/>
      <c r="P163" s="33"/>
      <c r="Q163" s="33"/>
      <c r="R163" s="33"/>
      <c r="S163" s="33"/>
      <c r="T163" s="33"/>
    </row>
    <row r="164" spans="1:20" ht="22.5" customHeight="1" x14ac:dyDescent="0.25">
      <c r="A164" s="115"/>
      <c r="B164" s="115" t="s">
        <v>218</v>
      </c>
      <c r="C164" s="115"/>
      <c r="D164" s="115"/>
      <c r="E164" s="86">
        <f>+G164</f>
        <v>475.03572268981202</v>
      </c>
      <c r="F164" s="86"/>
      <c r="G164" s="86">
        <f>475035.722689812/1000</f>
        <v>475.03572268981202</v>
      </c>
      <c r="H164" s="86">
        <f>+J164</f>
        <v>478.39296000000002</v>
      </c>
      <c r="I164" s="76"/>
      <c r="J164" s="86">
        <f>478392.96/1000</f>
        <v>478.39296000000002</v>
      </c>
      <c r="K164" s="33"/>
      <c r="L164" s="33"/>
      <c r="M164" s="33"/>
      <c r="N164" s="33"/>
      <c r="O164" s="33"/>
      <c r="P164" s="33"/>
      <c r="Q164" s="33"/>
      <c r="R164" s="33"/>
      <c r="S164" s="33"/>
      <c r="T164" s="33"/>
    </row>
    <row r="165" spans="1:20" ht="22.5" customHeight="1" x14ac:dyDescent="0.25">
      <c r="A165" s="115"/>
      <c r="B165" s="115" t="s">
        <v>178</v>
      </c>
      <c r="C165" s="115"/>
      <c r="D165" s="115"/>
      <c r="E165" s="86">
        <f>+G165</f>
        <v>405.18641796165298</v>
      </c>
      <c r="F165" s="86" t="s">
        <v>70</v>
      </c>
      <c r="G165" s="86">
        <f>405186.417961653/1000</f>
        <v>405.18641796165298</v>
      </c>
      <c r="H165" s="86">
        <f>+J165</f>
        <v>359.30009000000001</v>
      </c>
      <c r="I165" s="76" t="s">
        <v>70</v>
      </c>
      <c r="J165" s="86">
        <f>359300.09/1000</f>
        <v>359.30009000000001</v>
      </c>
      <c r="K165" s="33"/>
      <c r="L165" s="33"/>
      <c r="M165" s="33"/>
      <c r="N165" s="33"/>
      <c r="O165" s="33"/>
      <c r="P165" s="33"/>
      <c r="Q165" s="33"/>
      <c r="R165" s="33"/>
      <c r="S165" s="33"/>
      <c r="T165" s="33"/>
    </row>
    <row r="166" spans="1:20" ht="22.5" customHeight="1" x14ac:dyDescent="0.25">
      <c r="A166" s="115"/>
      <c r="B166" s="115" t="s">
        <v>155</v>
      </c>
      <c r="C166" s="115"/>
      <c r="D166" s="115"/>
      <c r="E166" s="86">
        <f>+G166</f>
        <v>-2407.6303495215802</v>
      </c>
      <c r="F166" s="86"/>
      <c r="G166" s="86">
        <f>-2407630.34952158/1000</f>
        <v>-2407.6303495215802</v>
      </c>
      <c r="H166" s="86">
        <f>+J166</f>
        <v>-1320.21884</v>
      </c>
      <c r="I166" s="76" t="s">
        <v>70</v>
      </c>
      <c r="J166" s="86">
        <f>-1320218.84/1000</f>
        <v>-1320.21884</v>
      </c>
      <c r="K166" s="33"/>
      <c r="L166" s="33"/>
      <c r="M166" s="33"/>
      <c r="N166" s="33"/>
      <c r="O166" s="33"/>
      <c r="P166" s="33"/>
      <c r="Q166" s="33"/>
      <c r="R166" s="33"/>
      <c r="S166" s="33"/>
      <c r="T166" s="33"/>
    </row>
    <row r="167" spans="1:20" ht="22.5" customHeight="1" x14ac:dyDescent="0.25">
      <c r="A167" s="115"/>
      <c r="B167" s="115"/>
      <c r="C167" s="115"/>
      <c r="D167" s="115"/>
      <c r="E167" s="86">
        <f>+G167</f>
        <v>2168.79424611276</v>
      </c>
      <c r="F167" s="86"/>
      <c r="G167" s="86">
        <f>2168794.24611276/1000</f>
        <v>2168.79424611276</v>
      </c>
      <c r="H167" s="86"/>
      <c r="I167" s="76"/>
      <c r="J167" s="86"/>
      <c r="K167" s="33"/>
      <c r="L167" s="33"/>
      <c r="M167" s="33"/>
      <c r="N167" s="33"/>
      <c r="O167" s="33"/>
      <c r="P167" s="33"/>
      <c r="Q167" s="33"/>
      <c r="R167" s="33"/>
      <c r="S167" s="33"/>
      <c r="T167" s="33"/>
    </row>
    <row r="168" spans="1:20" ht="48.75" customHeight="1" x14ac:dyDescent="0.25">
      <c r="A168" s="115" t="s">
        <v>37</v>
      </c>
      <c r="B168" s="84" t="s">
        <v>43</v>
      </c>
      <c r="C168" s="84" t="s">
        <v>41</v>
      </c>
      <c r="D168" s="79">
        <f>1147073.44/1000</f>
        <v>1147.0734399999999</v>
      </c>
      <c r="E168" s="86">
        <f>G168</f>
        <v>710.26214000000004</v>
      </c>
      <c r="F168" s="74" t="s">
        <v>79</v>
      </c>
      <c r="G168" s="86">
        <f>710262.14/1000</f>
        <v>710.26214000000004</v>
      </c>
      <c r="H168" s="86"/>
      <c r="I168" s="86"/>
      <c r="J168" s="86"/>
      <c r="K168" s="33"/>
      <c r="L168" s="33"/>
      <c r="M168" s="33"/>
      <c r="N168" s="33"/>
      <c r="O168" s="33"/>
      <c r="P168" s="33"/>
      <c r="Q168" s="33"/>
      <c r="R168" s="33"/>
      <c r="S168" s="33"/>
      <c r="T168" s="33"/>
    </row>
    <row r="169" spans="1:20" ht="48.75" customHeight="1" x14ac:dyDescent="0.25">
      <c r="A169" s="115"/>
      <c r="B169" s="84" t="s">
        <v>147</v>
      </c>
      <c r="C169" s="84" t="s">
        <v>150</v>
      </c>
      <c r="D169" s="79"/>
      <c r="E169" s="86">
        <f>+G169</f>
        <v>445.308852</v>
      </c>
      <c r="F169" s="74" t="s">
        <v>151</v>
      </c>
      <c r="G169" s="86">
        <f>445308.852/1000</f>
        <v>445.308852</v>
      </c>
      <c r="H169" s="86"/>
      <c r="I169" s="86"/>
      <c r="J169" s="86"/>
      <c r="K169" s="33"/>
      <c r="L169" s="33"/>
      <c r="M169" s="33"/>
      <c r="N169" s="33"/>
      <c r="O169" s="33"/>
      <c r="P169" s="33"/>
      <c r="Q169" s="33"/>
      <c r="R169" s="33"/>
      <c r="S169" s="33"/>
      <c r="T169" s="33"/>
    </row>
    <row r="170" spans="1:20" ht="24.75" customHeight="1" x14ac:dyDescent="0.25">
      <c r="A170" s="115" t="s">
        <v>65</v>
      </c>
      <c r="B170" s="115" t="s">
        <v>28</v>
      </c>
      <c r="C170" s="115"/>
      <c r="D170" s="115"/>
      <c r="E170" s="86">
        <f t="shared" ref="E170:E193" si="10">G170</f>
        <v>2.46909870609981</v>
      </c>
      <c r="F170" s="86"/>
      <c r="G170" s="86">
        <v>2.46909870609981</v>
      </c>
      <c r="H170" s="86">
        <f t="shared" ref="H170:H193" si="11">J170</f>
        <v>10.86992</v>
      </c>
      <c r="I170" s="86"/>
      <c r="J170" s="86">
        <v>10.86992</v>
      </c>
      <c r="K170" s="33"/>
      <c r="L170" s="33"/>
      <c r="M170" s="33"/>
      <c r="N170" s="33"/>
      <c r="O170" s="33"/>
      <c r="P170" s="33"/>
      <c r="Q170" s="33"/>
      <c r="R170" s="33"/>
      <c r="S170" s="33"/>
      <c r="T170" s="33"/>
    </row>
    <row r="171" spans="1:20" ht="23.25" customHeight="1" x14ac:dyDescent="0.25">
      <c r="A171" s="115"/>
      <c r="B171" s="115" t="s">
        <v>33</v>
      </c>
      <c r="C171" s="115"/>
      <c r="D171" s="115"/>
      <c r="E171" s="86">
        <f t="shared" si="10"/>
        <v>40.434703336733804</v>
      </c>
      <c r="F171" s="86"/>
      <c r="G171" s="86">
        <v>40.434703336733804</v>
      </c>
      <c r="H171" s="86">
        <f t="shared" si="11"/>
        <v>79.115089999999995</v>
      </c>
      <c r="I171" s="86"/>
      <c r="J171" s="86">
        <v>79.115089999999995</v>
      </c>
      <c r="K171" s="33"/>
      <c r="L171" s="33"/>
      <c r="M171" s="33"/>
      <c r="N171" s="33"/>
      <c r="O171" s="33"/>
      <c r="P171" s="33"/>
      <c r="Q171" s="33"/>
      <c r="R171" s="33"/>
      <c r="S171" s="33"/>
      <c r="T171" s="33"/>
    </row>
    <row r="172" spans="1:20" ht="25.5" customHeight="1" x14ac:dyDescent="0.25">
      <c r="A172" s="115"/>
      <c r="B172" s="115" t="s">
        <v>34</v>
      </c>
      <c r="C172" s="115"/>
      <c r="D172" s="115"/>
      <c r="E172" s="86">
        <f t="shared" si="10"/>
        <v>67.854775431163404</v>
      </c>
      <c r="F172" s="86"/>
      <c r="G172" s="86">
        <v>67.854775431163404</v>
      </c>
      <c r="H172" s="86">
        <f t="shared" si="11"/>
        <v>63.424190000000003</v>
      </c>
      <c r="I172" s="86"/>
      <c r="J172" s="86">
        <v>63.424190000000003</v>
      </c>
      <c r="K172" s="33"/>
      <c r="L172" s="33"/>
      <c r="M172" s="33"/>
      <c r="N172" s="33"/>
      <c r="O172" s="33"/>
      <c r="P172" s="33"/>
      <c r="Q172" s="33"/>
      <c r="R172" s="33"/>
      <c r="S172" s="33"/>
      <c r="T172" s="33"/>
    </row>
    <row r="173" spans="1:20" ht="25.5" customHeight="1" x14ac:dyDescent="0.25">
      <c r="A173" s="115"/>
      <c r="B173" s="115" t="s">
        <v>218</v>
      </c>
      <c r="C173" s="115"/>
      <c r="D173" s="115"/>
      <c r="E173" s="86">
        <f>+G173</f>
        <v>55.335806302826995</v>
      </c>
      <c r="F173" s="86"/>
      <c r="G173" s="86">
        <f>55335.806302827/1000</f>
        <v>55.335806302826995</v>
      </c>
      <c r="H173" s="86">
        <f>+J173</f>
        <v>32.704569999999997</v>
      </c>
      <c r="I173" s="86"/>
      <c r="J173" s="86">
        <f>32704.57/1000</f>
        <v>32.704569999999997</v>
      </c>
      <c r="K173" s="33"/>
      <c r="L173" s="33"/>
      <c r="M173" s="33"/>
      <c r="N173" s="33"/>
      <c r="O173" s="33"/>
      <c r="P173" s="33"/>
      <c r="Q173" s="33"/>
      <c r="R173" s="33"/>
      <c r="S173" s="33"/>
      <c r="T173" s="33"/>
    </row>
    <row r="174" spans="1:20" ht="25.5" customHeight="1" x14ac:dyDescent="0.25">
      <c r="A174" s="115"/>
      <c r="B174" s="115" t="s">
        <v>178</v>
      </c>
      <c r="C174" s="115"/>
      <c r="D174" s="115"/>
      <c r="E174" s="86">
        <f>+G174</f>
        <v>20.019386223175999</v>
      </c>
      <c r="F174" s="86"/>
      <c r="G174" s="86">
        <f>20019.386223176/1000</f>
        <v>20.019386223175999</v>
      </c>
      <c r="H174" s="86"/>
      <c r="I174" s="86"/>
      <c r="J174" s="86"/>
      <c r="K174" s="33"/>
      <c r="L174" s="33"/>
      <c r="M174" s="33"/>
      <c r="N174" s="33"/>
      <c r="O174" s="33"/>
      <c r="P174" s="33"/>
      <c r="Q174" s="33"/>
      <c r="R174" s="33"/>
      <c r="S174" s="33"/>
      <c r="T174" s="33"/>
    </row>
    <row r="175" spans="1:20" ht="45" customHeight="1" x14ac:dyDescent="0.25">
      <c r="A175" s="115"/>
      <c r="B175" s="84" t="s">
        <v>216</v>
      </c>
      <c r="C175" s="84" t="s">
        <v>217</v>
      </c>
      <c r="D175" s="84"/>
      <c r="E175" s="86"/>
      <c r="F175" s="86"/>
      <c r="G175" s="86"/>
      <c r="H175" s="86">
        <f>+J175</f>
        <v>1215.336</v>
      </c>
      <c r="I175" s="74" t="s">
        <v>224</v>
      </c>
      <c r="J175" s="86">
        <f>1012780/1000*1.2</f>
        <v>1215.336</v>
      </c>
      <c r="K175" s="33"/>
      <c r="L175" s="33"/>
      <c r="M175" s="33"/>
      <c r="N175" s="33"/>
      <c r="O175" s="33"/>
      <c r="P175" s="33"/>
      <c r="Q175" s="33"/>
      <c r="R175" s="33"/>
      <c r="S175" s="33"/>
      <c r="T175" s="33"/>
    </row>
    <row r="176" spans="1:20" ht="30" customHeight="1" x14ac:dyDescent="0.25">
      <c r="A176" s="115" t="s">
        <v>66</v>
      </c>
      <c r="B176" s="115" t="s">
        <v>28</v>
      </c>
      <c r="C176" s="115"/>
      <c r="D176" s="115"/>
      <c r="E176" s="86">
        <f t="shared" si="10"/>
        <v>1.7140406654343798</v>
      </c>
      <c r="F176" s="86"/>
      <c r="G176" s="86">
        <v>1.7140406654343798</v>
      </c>
      <c r="H176" s="86">
        <f t="shared" si="11"/>
        <v>7.5458400000000001</v>
      </c>
      <c r="I176" s="86"/>
      <c r="J176" s="86">
        <v>7.5458400000000001</v>
      </c>
      <c r="K176" s="33"/>
      <c r="L176" s="33"/>
      <c r="M176" s="33"/>
      <c r="N176" s="33"/>
      <c r="O176" s="33"/>
      <c r="P176" s="33"/>
      <c r="Q176" s="33"/>
      <c r="R176" s="33"/>
      <c r="S176" s="33"/>
      <c r="T176" s="33"/>
    </row>
    <row r="177" spans="1:20" ht="27.75" customHeight="1" x14ac:dyDescent="0.25">
      <c r="A177" s="115"/>
      <c r="B177" s="115" t="s">
        <v>33</v>
      </c>
      <c r="C177" s="115"/>
      <c r="D177" s="115"/>
      <c r="E177" s="86">
        <f t="shared" si="10"/>
        <v>7.3192826953563896</v>
      </c>
      <c r="F177" s="86"/>
      <c r="G177" s="86">
        <v>7.3192826953563896</v>
      </c>
      <c r="H177" s="86">
        <f t="shared" si="11"/>
        <v>3.6736800000000001</v>
      </c>
      <c r="I177" s="86"/>
      <c r="J177" s="86">
        <v>3.6736800000000001</v>
      </c>
      <c r="K177" s="33"/>
      <c r="L177" s="33"/>
      <c r="M177" s="33"/>
      <c r="N177" s="33"/>
      <c r="O177" s="33"/>
      <c r="P177" s="33"/>
      <c r="Q177" s="33"/>
      <c r="R177" s="33"/>
      <c r="S177" s="33"/>
      <c r="T177" s="33"/>
    </row>
    <row r="178" spans="1:20" ht="33" customHeight="1" x14ac:dyDescent="0.25">
      <c r="A178" s="115"/>
      <c r="B178" s="115" t="s">
        <v>34</v>
      </c>
      <c r="C178" s="115"/>
      <c r="D178" s="115"/>
      <c r="E178" s="86">
        <f t="shared" si="10"/>
        <v>2.8289359111260199</v>
      </c>
      <c r="F178" s="86"/>
      <c r="G178" s="86">
        <v>2.8289359111260199</v>
      </c>
      <c r="H178" s="86">
        <f t="shared" si="11"/>
        <v>1.9623499999999998</v>
      </c>
      <c r="I178" s="86"/>
      <c r="J178" s="86">
        <v>1.9623499999999998</v>
      </c>
      <c r="K178" s="33"/>
      <c r="L178" s="33"/>
      <c r="M178" s="33"/>
      <c r="N178" s="33"/>
      <c r="O178" s="33"/>
      <c r="P178" s="33"/>
      <c r="Q178" s="33"/>
      <c r="R178" s="33"/>
      <c r="S178" s="33"/>
      <c r="T178" s="33"/>
    </row>
    <row r="179" spans="1:20" ht="33" customHeight="1" x14ac:dyDescent="0.25">
      <c r="A179" s="115"/>
      <c r="B179" s="115" t="s">
        <v>218</v>
      </c>
      <c r="C179" s="115"/>
      <c r="D179" s="115"/>
      <c r="E179" s="86">
        <f>+G179</f>
        <v>6.08883263080138</v>
      </c>
      <c r="F179" s="86"/>
      <c r="G179" s="86">
        <f>6088.83263080138/1000</f>
        <v>6.08883263080138</v>
      </c>
      <c r="H179" s="86">
        <f>+J179</f>
        <v>12.295870000000001</v>
      </c>
      <c r="I179" s="86"/>
      <c r="J179" s="86">
        <f>12295.87/1000</f>
        <v>12.295870000000001</v>
      </c>
      <c r="K179" s="33"/>
      <c r="L179" s="33"/>
      <c r="M179" s="33"/>
      <c r="N179" s="33"/>
      <c r="O179" s="33"/>
      <c r="P179" s="33"/>
      <c r="Q179" s="33"/>
      <c r="R179" s="33"/>
      <c r="S179" s="33"/>
      <c r="T179" s="33"/>
    </row>
    <row r="180" spans="1:20" ht="33" customHeight="1" x14ac:dyDescent="0.25">
      <c r="A180" s="115"/>
      <c r="B180" s="115" t="s">
        <v>178</v>
      </c>
      <c r="C180" s="115"/>
      <c r="D180" s="115"/>
      <c r="E180" s="86">
        <f>+G180</f>
        <v>11.0348753784736</v>
      </c>
      <c r="F180" s="86"/>
      <c r="G180" s="86">
        <f>11034.8753784736/1000</f>
        <v>11.0348753784736</v>
      </c>
      <c r="H180" s="86">
        <f>+J180</f>
        <v>11.303510000000001</v>
      </c>
      <c r="I180" s="86"/>
      <c r="J180" s="86">
        <f>11303.51/1000</f>
        <v>11.303510000000001</v>
      </c>
      <c r="K180" s="33"/>
      <c r="L180" s="33"/>
      <c r="M180" s="33"/>
      <c r="N180" s="33"/>
      <c r="O180" s="33"/>
      <c r="P180" s="33"/>
      <c r="Q180" s="33"/>
      <c r="R180" s="33"/>
      <c r="S180" s="33"/>
      <c r="T180" s="33"/>
    </row>
    <row r="181" spans="1:20" ht="33" customHeight="1" x14ac:dyDescent="0.25">
      <c r="A181" s="115"/>
      <c r="B181" s="115" t="s">
        <v>155</v>
      </c>
      <c r="C181" s="115"/>
      <c r="D181" s="115"/>
      <c r="E181" s="86">
        <f>+G181</f>
        <v>11.818889128303699</v>
      </c>
      <c r="F181" s="86"/>
      <c r="G181" s="86">
        <f>11818.8891283037/1000</f>
        <v>11.818889128303699</v>
      </c>
      <c r="H181" s="86">
        <f>+J181</f>
        <v>10.999709999999999</v>
      </c>
      <c r="I181" s="86"/>
      <c r="J181" s="86">
        <f>10999.71/1000</f>
        <v>10.999709999999999</v>
      </c>
      <c r="K181" s="33"/>
      <c r="L181" s="33"/>
      <c r="M181" s="33"/>
      <c r="N181" s="33"/>
      <c r="O181" s="33"/>
      <c r="P181" s="33"/>
      <c r="Q181" s="33"/>
      <c r="R181" s="33"/>
      <c r="S181" s="33"/>
      <c r="T181" s="33"/>
    </row>
    <row r="182" spans="1:20" ht="33" customHeight="1" x14ac:dyDescent="0.25">
      <c r="A182" s="115"/>
      <c r="B182" s="115" t="s">
        <v>140</v>
      </c>
      <c r="C182" s="115" t="s">
        <v>141</v>
      </c>
      <c r="D182" s="115"/>
      <c r="E182" s="86">
        <f>+G182</f>
        <v>447.76706999999999</v>
      </c>
      <c r="F182" s="74" t="s">
        <v>142</v>
      </c>
      <c r="G182" s="86">
        <f>447767.07/1000</f>
        <v>447.76706999999999</v>
      </c>
      <c r="H182" s="86">
        <f>+J182</f>
        <v>1552.2329279999997</v>
      </c>
      <c r="I182" s="74" t="s">
        <v>225</v>
      </c>
      <c r="J182" s="86">
        <f>1293527.44/1000*1.2</f>
        <v>1552.2329279999997</v>
      </c>
      <c r="K182" s="33"/>
      <c r="L182" s="33"/>
      <c r="M182" s="33"/>
      <c r="N182" s="33"/>
      <c r="O182" s="33"/>
      <c r="P182" s="33"/>
      <c r="Q182" s="33"/>
      <c r="R182" s="33"/>
      <c r="S182" s="33"/>
      <c r="T182" s="33"/>
    </row>
    <row r="183" spans="1:20" ht="33" customHeight="1" x14ac:dyDescent="0.25">
      <c r="A183" s="115"/>
      <c r="B183" s="115"/>
      <c r="C183" s="115"/>
      <c r="D183" s="115"/>
      <c r="E183" s="86">
        <f>+G183</f>
        <v>1552.2329299999999</v>
      </c>
      <c r="F183" s="74" t="s">
        <v>143</v>
      </c>
      <c r="G183" s="86">
        <f>1552232.93/1000</f>
        <v>1552.2329299999999</v>
      </c>
      <c r="H183" s="86"/>
      <c r="I183" s="86"/>
      <c r="J183" s="86"/>
      <c r="K183" s="33"/>
      <c r="L183" s="33"/>
      <c r="M183" s="33"/>
      <c r="N183" s="33"/>
      <c r="O183" s="33"/>
      <c r="P183" s="33"/>
      <c r="Q183" s="33"/>
      <c r="R183" s="33"/>
      <c r="S183" s="33"/>
      <c r="T183" s="33"/>
    </row>
    <row r="184" spans="1:20" ht="29.25" customHeight="1" x14ac:dyDescent="0.25">
      <c r="A184" s="119" t="s">
        <v>67</v>
      </c>
      <c r="B184" s="119" t="s">
        <v>28</v>
      </c>
      <c r="C184" s="119"/>
      <c r="D184" s="119"/>
      <c r="E184" s="21">
        <f t="shared" si="10"/>
        <v>2.0833685767098</v>
      </c>
      <c r="F184" s="21"/>
      <c r="G184" s="21">
        <v>2.0833685767098</v>
      </c>
      <c r="H184" s="21">
        <f t="shared" si="11"/>
        <v>9.1717900000000014</v>
      </c>
      <c r="I184" s="21"/>
      <c r="J184" s="21">
        <v>9.1717900000000014</v>
      </c>
      <c r="K184" s="33"/>
      <c r="L184" s="33"/>
      <c r="M184" s="33"/>
      <c r="N184" s="33"/>
      <c r="O184" s="33"/>
      <c r="P184" s="33"/>
      <c r="Q184" s="33"/>
      <c r="R184" s="33"/>
      <c r="S184" s="33"/>
      <c r="T184" s="33"/>
    </row>
    <row r="185" spans="1:20" ht="31.5" customHeight="1" x14ac:dyDescent="0.25">
      <c r="A185" s="119"/>
      <c r="B185" s="119" t="s">
        <v>33</v>
      </c>
      <c r="C185" s="119"/>
      <c r="D185" s="119"/>
      <c r="E185" s="21">
        <f t="shared" si="10"/>
        <v>8.9086467939656604</v>
      </c>
      <c r="F185" s="21"/>
      <c r="G185" s="21">
        <v>8.9086467939656604</v>
      </c>
      <c r="H185" s="21">
        <f t="shared" si="11"/>
        <v>4.4954600000000005</v>
      </c>
      <c r="I185" s="21"/>
      <c r="J185" s="21">
        <v>4.4954600000000005</v>
      </c>
      <c r="K185" s="33"/>
      <c r="L185" s="33"/>
      <c r="M185" s="33"/>
      <c r="N185" s="33"/>
      <c r="O185" s="33"/>
      <c r="P185" s="33"/>
      <c r="Q185" s="33"/>
      <c r="R185" s="33"/>
      <c r="S185" s="33"/>
      <c r="T185" s="33"/>
    </row>
    <row r="186" spans="1:20" ht="30" customHeight="1" x14ac:dyDescent="0.25">
      <c r="A186" s="119"/>
      <c r="B186" s="119" t="s">
        <v>34</v>
      </c>
      <c r="C186" s="119"/>
      <c r="D186" s="119"/>
      <c r="E186" s="21">
        <f t="shared" si="10"/>
        <v>3.6814702756841298</v>
      </c>
      <c r="F186" s="21"/>
      <c r="G186" s="21">
        <v>3.6814702756841298</v>
      </c>
      <c r="H186" s="21">
        <f t="shared" si="11"/>
        <v>3.0721599999999998</v>
      </c>
      <c r="I186" s="21"/>
      <c r="J186" s="21">
        <v>3.0721599999999998</v>
      </c>
      <c r="K186" s="33"/>
      <c r="L186" s="33"/>
      <c r="M186" s="33"/>
      <c r="N186" s="33"/>
      <c r="O186" s="33"/>
      <c r="P186" s="33"/>
      <c r="Q186" s="33"/>
      <c r="R186" s="33"/>
      <c r="S186" s="33"/>
      <c r="T186" s="33"/>
    </row>
    <row r="187" spans="1:20" ht="30" customHeight="1" x14ac:dyDescent="0.25">
      <c r="A187" s="119"/>
      <c r="B187" s="115" t="s">
        <v>218</v>
      </c>
      <c r="C187" s="115"/>
      <c r="D187" s="115"/>
      <c r="E187" s="86">
        <f>+G187</f>
        <v>7.7549511347563005</v>
      </c>
      <c r="F187" s="86"/>
      <c r="G187" s="86">
        <f>7754.9511347563/1000</f>
        <v>7.7549511347563005</v>
      </c>
      <c r="H187" s="86">
        <f>+J187</f>
        <v>14.667309999999999</v>
      </c>
      <c r="I187" s="86"/>
      <c r="J187" s="86">
        <f>14667.31/1000</f>
        <v>14.667309999999999</v>
      </c>
      <c r="K187" s="33"/>
      <c r="L187" s="33"/>
      <c r="M187" s="33"/>
      <c r="N187" s="33"/>
      <c r="O187" s="33"/>
      <c r="P187" s="33"/>
      <c r="Q187" s="33"/>
      <c r="R187" s="33"/>
      <c r="S187" s="33"/>
      <c r="T187" s="33"/>
    </row>
    <row r="188" spans="1:20" ht="30" customHeight="1" x14ac:dyDescent="0.25">
      <c r="A188" s="119"/>
      <c r="B188" s="115" t="s">
        <v>178</v>
      </c>
      <c r="C188" s="115"/>
      <c r="D188" s="115"/>
      <c r="E188" s="86">
        <f>+G188</f>
        <v>13.7295568129251</v>
      </c>
      <c r="F188" s="86"/>
      <c r="G188" s="86">
        <f>13729.5568129251/1000</f>
        <v>13.7295568129251</v>
      </c>
      <c r="H188" s="86">
        <f>+J188</f>
        <v>15.308579999999999</v>
      </c>
      <c r="I188" s="86"/>
      <c r="J188" s="86">
        <f>15308.58/1000</f>
        <v>15.308579999999999</v>
      </c>
      <c r="K188" s="33"/>
      <c r="L188" s="33"/>
      <c r="M188" s="33"/>
      <c r="N188" s="33"/>
      <c r="O188" s="33"/>
      <c r="P188" s="33"/>
      <c r="Q188" s="33"/>
      <c r="R188" s="33"/>
      <c r="S188" s="33"/>
      <c r="T188" s="33"/>
    </row>
    <row r="189" spans="1:20" ht="30" customHeight="1" x14ac:dyDescent="0.25">
      <c r="A189" s="119"/>
      <c r="B189" s="115" t="s">
        <v>155</v>
      </c>
      <c r="C189" s="115"/>
      <c r="D189" s="115"/>
      <c r="E189" s="86">
        <f>+G189</f>
        <v>13.8867717472053</v>
      </c>
      <c r="F189" s="86"/>
      <c r="G189" s="86">
        <f>13886.7717472053/1000</f>
        <v>13.8867717472053</v>
      </c>
      <c r="H189" s="86">
        <f>+J189</f>
        <v>9.1020900000000005</v>
      </c>
      <c r="I189" s="86"/>
      <c r="J189" s="86">
        <f>9102.09/1000</f>
        <v>9.1020900000000005</v>
      </c>
      <c r="K189" s="33"/>
      <c r="L189" s="33"/>
      <c r="M189" s="33"/>
      <c r="N189" s="33"/>
      <c r="O189" s="33"/>
      <c r="P189" s="33"/>
      <c r="Q189" s="33"/>
      <c r="R189" s="33"/>
      <c r="S189" s="33"/>
      <c r="T189" s="33"/>
    </row>
    <row r="190" spans="1:20" ht="30" customHeight="1" x14ac:dyDescent="0.25">
      <c r="A190" s="119" t="s">
        <v>68</v>
      </c>
      <c r="B190" s="84" t="s">
        <v>116</v>
      </c>
      <c r="C190" s="84"/>
      <c r="D190" s="84"/>
      <c r="E190" s="86">
        <f>G190</f>
        <v>5.6110100000000003</v>
      </c>
      <c r="F190" s="74" t="s">
        <v>117</v>
      </c>
      <c r="G190" s="86">
        <f>5611.01/1000</f>
        <v>5.6110100000000003</v>
      </c>
      <c r="H190" s="86"/>
      <c r="I190" s="86"/>
      <c r="J190" s="86"/>
      <c r="K190" s="33"/>
      <c r="L190" s="33"/>
      <c r="M190" s="33"/>
      <c r="N190" s="33"/>
      <c r="O190" s="33"/>
      <c r="P190" s="33"/>
      <c r="Q190" s="33"/>
      <c r="R190" s="33"/>
      <c r="S190" s="33"/>
      <c r="T190" s="33"/>
    </row>
    <row r="191" spans="1:20" ht="25.5" customHeight="1" x14ac:dyDescent="0.25">
      <c r="A191" s="119"/>
      <c r="B191" s="115" t="s">
        <v>28</v>
      </c>
      <c r="C191" s="115"/>
      <c r="D191" s="115"/>
      <c r="E191" s="86">
        <f t="shared" si="10"/>
        <v>1.92694417744917</v>
      </c>
      <c r="F191" s="86"/>
      <c r="G191" s="86">
        <v>1.92694417744917</v>
      </c>
      <c r="H191" s="86">
        <f t="shared" si="11"/>
        <v>8.4831399999999988</v>
      </c>
      <c r="I191" s="86"/>
      <c r="J191" s="86">
        <v>8.4831399999999988</v>
      </c>
      <c r="K191" s="33"/>
      <c r="L191" s="33"/>
      <c r="M191" s="33"/>
      <c r="N191" s="33"/>
      <c r="O191" s="33"/>
      <c r="P191" s="33"/>
      <c r="Q191" s="33"/>
      <c r="R191" s="33"/>
      <c r="S191" s="33"/>
      <c r="T191" s="33"/>
    </row>
    <row r="192" spans="1:20" ht="27" customHeight="1" x14ac:dyDescent="0.25">
      <c r="A192" s="119"/>
      <c r="B192" s="115" t="s">
        <v>33</v>
      </c>
      <c r="C192" s="115"/>
      <c r="D192" s="115"/>
      <c r="E192" s="86">
        <f t="shared" si="10"/>
        <v>9.2865286067353416</v>
      </c>
      <c r="F192" s="86"/>
      <c r="G192" s="86">
        <v>9.2865286067353416</v>
      </c>
      <c r="H192" s="86">
        <f t="shared" si="11"/>
        <v>6.7431899999999994</v>
      </c>
      <c r="I192" s="86"/>
      <c r="J192" s="86">
        <v>6.7431899999999994</v>
      </c>
      <c r="K192" s="33"/>
      <c r="L192" s="33"/>
      <c r="M192" s="33"/>
      <c r="N192" s="33"/>
      <c r="O192" s="33"/>
      <c r="P192" s="33"/>
      <c r="Q192" s="33"/>
      <c r="R192" s="33"/>
      <c r="S192" s="33"/>
      <c r="T192" s="33"/>
    </row>
    <row r="193" spans="1:20" ht="25.5" customHeight="1" x14ac:dyDescent="0.25">
      <c r="A193" s="119"/>
      <c r="B193" s="115" t="s">
        <v>34</v>
      </c>
      <c r="C193" s="115"/>
      <c r="D193" s="115"/>
      <c r="E193" s="86">
        <f t="shared" si="10"/>
        <v>5.0029943999999995</v>
      </c>
      <c r="F193" s="86"/>
      <c r="G193" s="86">
        <f>5002.9944/1000</f>
        <v>5.0029943999999995</v>
      </c>
      <c r="H193" s="86">
        <f t="shared" si="11"/>
        <v>3.0230199999999998</v>
      </c>
      <c r="I193" s="86"/>
      <c r="J193" s="86">
        <v>3.0230199999999998</v>
      </c>
      <c r="K193" s="33"/>
      <c r="L193" s="33"/>
      <c r="M193" s="33"/>
      <c r="N193" s="33"/>
      <c r="O193" s="33"/>
      <c r="P193" s="33"/>
      <c r="Q193" s="33"/>
      <c r="R193" s="33"/>
      <c r="S193" s="33"/>
      <c r="T193" s="33"/>
    </row>
    <row r="194" spans="1:20" ht="25.5" customHeight="1" x14ac:dyDescent="0.25">
      <c r="A194" s="119"/>
      <c r="B194" s="115" t="s">
        <v>218</v>
      </c>
      <c r="C194" s="115"/>
      <c r="D194" s="115"/>
      <c r="E194" s="86">
        <f>+G194</f>
        <v>32.168088787739698</v>
      </c>
      <c r="F194" s="86"/>
      <c r="G194" s="86">
        <f>32168.0887877397/1000</f>
        <v>32.168088787739698</v>
      </c>
      <c r="H194" s="86">
        <f>+J194</f>
        <v>77.693919999999991</v>
      </c>
      <c r="I194" s="86"/>
      <c r="J194" s="86">
        <f>77693.92/1000</f>
        <v>77.693919999999991</v>
      </c>
      <c r="K194" s="33"/>
      <c r="L194" s="33"/>
      <c r="M194" s="33"/>
      <c r="N194" s="33"/>
      <c r="O194" s="33"/>
      <c r="P194" s="33"/>
      <c r="Q194" s="33"/>
      <c r="R194" s="33"/>
      <c r="S194" s="33"/>
      <c r="T194" s="33"/>
    </row>
    <row r="195" spans="1:20" ht="25.5" customHeight="1" x14ac:dyDescent="0.25">
      <c r="A195" s="119"/>
      <c r="B195" s="115" t="s">
        <v>178</v>
      </c>
      <c r="C195" s="115"/>
      <c r="D195" s="115"/>
      <c r="E195" s="86">
        <f>+G195</f>
        <v>78.623148977789498</v>
      </c>
      <c r="F195" s="86"/>
      <c r="G195" s="86">
        <f>78623.1489777895/1000</f>
        <v>78.623148977789498</v>
      </c>
      <c r="H195" s="86">
        <f>+J195</f>
        <v>98.5749</v>
      </c>
      <c r="I195" s="86"/>
      <c r="J195" s="86">
        <f>98574.9/1000</f>
        <v>98.5749</v>
      </c>
      <c r="K195" s="33"/>
      <c r="L195" s="33"/>
      <c r="M195" s="33"/>
      <c r="N195" s="33"/>
      <c r="O195" s="33"/>
      <c r="P195" s="33"/>
      <c r="Q195" s="33"/>
      <c r="R195" s="33"/>
      <c r="S195" s="33"/>
      <c r="T195" s="33"/>
    </row>
    <row r="196" spans="1:20" ht="25.5" customHeight="1" x14ac:dyDescent="0.25">
      <c r="A196" s="119"/>
      <c r="B196" s="115" t="s">
        <v>155</v>
      </c>
      <c r="C196" s="115"/>
      <c r="D196" s="115"/>
      <c r="E196" s="86">
        <f>+G196</f>
        <v>87.712985799446301</v>
      </c>
      <c r="F196" s="86"/>
      <c r="G196" s="86">
        <f>87712.9857994463/1000</f>
        <v>87.712985799446301</v>
      </c>
      <c r="H196" s="86">
        <f>+J196</f>
        <v>53.693349999999995</v>
      </c>
      <c r="I196" s="86"/>
      <c r="J196" s="86">
        <f>53693.35/1000</f>
        <v>53.693349999999995</v>
      </c>
      <c r="K196" s="33"/>
      <c r="L196" s="33"/>
      <c r="M196" s="33"/>
      <c r="N196" s="33"/>
      <c r="O196" s="33"/>
      <c r="P196" s="33"/>
      <c r="Q196" s="33"/>
      <c r="R196" s="33"/>
      <c r="S196" s="33"/>
      <c r="T196" s="33"/>
    </row>
    <row r="197" spans="1:20" ht="52.5" customHeight="1" x14ac:dyDescent="0.25">
      <c r="A197" s="115" t="s">
        <v>48</v>
      </c>
      <c r="B197" s="115" t="s">
        <v>44</v>
      </c>
      <c r="C197" s="115" t="s">
        <v>45</v>
      </c>
      <c r="D197" s="120">
        <v>9559.4439999999995</v>
      </c>
      <c r="E197" s="86">
        <f>G197</f>
        <v>1205.3496</v>
      </c>
      <c r="F197" s="74" t="s">
        <v>75</v>
      </c>
      <c r="G197" s="86">
        <f>1205349.6/1000</f>
        <v>1205.3496</v>
      </c>
      <c r="H197" s="86">
        <f>J197</f>
        <v>152.92079999999999</v>
      </c>
      <c r="I197" s="74" t="s">
        <v>123</v>
      </c>
      <c r="J197" s="86">
        <f>127434*1.2/1000</f>
        <v>152.92079999999999</v>
      </c>
      <c r="K197" s="80"/>
      <c r="L197" s="33"/>
      <c r="M197" s="33"/>
      <c r="N197" s="33"/>
      <c r="O197" s="33"/>
      <c r="P197" s="33"/>
      <c r="Q197" s="33"/>
      <c r="R197" s="33"/>
      <c r="S197" s="33"/>
      <c r="T197" s="33"/>
    </row>
    <row r="198" spans="1:20" ht="52.5" customHeight="1" x14ac:dyDescent="0.25">
      <c r="A198" s="115"/>
      <c r="B198" s="115"/>
      <c r="C198" s="115"/>
      <c r="D198" s="120"/>
      <c r="E198" s="86">
        <f>+G198</f>
        <v>1168.518</v>
      </c>
      <c r="F198" s="74" t="s">
        <v>145</v>
      </c>
      <c r="G198" s="86">
        <f>1168518/1000</f>
        <v>1168.518</v>
      </c>
      <c r="H198" s="86">
        <f>J198</f>
        <v>1588.3368</v>
      </c>
      <c r="I198" s="74" t="s">
        <v>133</v>
      </c>
      <c r="J198" s="86">
        <f>1323614*1.2/1000</f>
        <v>1588.3368</v>
      </c>
      <c r="K198" s="80"/>
      <c r="L198" s="33"/>
      <c r="M198" s="33"/>
      <c r="N198" s="33"/>
      <c r="O198" s="33"/>
      <c r="P198" s="33"/>
      <c r="Q198" s="33"/>
      <c r="R198" s="33"/>
      <c r="S198" s="33"/>
      <c r="T198" s="33"/>
    </row>
    <row r="199" spans="1:20" ht="52.5" customHeight="1" x14ac:dyDescent="0.25">
      <c r="A199" s="115"/>
      <c r="B199" s="115"/>
      <c r="C199" s="115"/>
      <c r="D199" s="120"/>
      <c r="E199" s="86">
        <f>+G199</f>
        <v>94.285200000000003</v>
      </c>
      <c r="F199" s="74" t="s">
        <v>146</v>
      </c>
      <c r="G199" s="86">
        <f>94285.2/1000</f>
        <v>94.285200000000003</v>
      </c>
      <c r="H199" s="86">
        <f>J199</f>
        <v>218.01119999999997</v>
      </c>
      <c r="I199" s="74" t="s">
        <v>134</v>
      </c>
      <c r="J199" s="86">
        <f>181676*1.2/1000</f>
        <v>218.01119999999997</v>
      </c>
      <c r="K199" s="80"/>
      <c r="L199" s="46"/>
      <c r="M199" s="33"/>
      <c r="N199" s="33"/>
      <c r="O199" s="33"/>
      <c r="P199" s="33"/>
      <c r="Q199" s="33"/>
      <c r="R199" s="33"/>
      <c r="S199" s="33"/>
      <c r="T199" s="33"/>
    </row>
    <row r="200" spans="1:20" ht="52.5" customHeight="1" x14ac:dyDescent="0.25">
      <c r="A200" s="115"/>
      <c r="B200" s="115"/>
      <c r="C200" s="115"/>
      <c r="D200" s="86"/>
      <c r="E200" s="86">
        <f>+G200</f>
        <v>3499.1496000000002</v>
      </c>
      <c r="F200" s="74" t="s">
        <v>166</v>
      </c>
      <c r="G200" s="86">
        <f>3499149.6/1000</f>
        <v>3499.1496000000002</v>
      </c>
      <c r="H200" s="86">
        <f t="shared" ref="H200:H206" si="12">+J200</f>
        <v>3499.1496000000002</v>
      </c>
      <c r="I200" s="74" t="s">
        <v>228</v>
      </c>
      <c r="J200" s="86">
        <f>2915958/1000*1.2</f>
        <v>3499.1496000000002</v>
      </c>
      <c r="K200" s="80"/>
      <c r="L200" s="46"/>
      <c r="M200" s="33"/>
      <c r="N200" s="33"/>
      <c r="O200" s="33"/>
      <c r="P200" s="33"/>
      <c r="Q200" s="33"/>
      <c r="R200" s="33"/>
      <c r="S200" s="33"/>
      <c r="T200" s="33"/>
    </row>
    <row r="201" spans="1:20" ht="52.5" customHeight="1" x14ac:dyDescent="0.25">
      <c r="A201" s="115"/>
      <c r="B201" s="115"/>
      <c r="C201" s="115"/>
      <c r="D201" s="86"/>
      <c r="E201" s="86"/>
      <c r="F201" s="74"/>
      <c r="G201" s="86"/>
      <c r="H201" s="86">
        <f t="shared" si="12"/>
        <v>1168.518</v>
      </c>
      <c r="I201" s="74" t="s">
        <v>227</v>
      </c>
      <c r="J201" s="86">
        <f>973765/1000*1.2</f>
        <v>1168.518</v>
      </c>
      <c r="K201" s="80"/>
      <c r="L201" s="46"/>
      <c r="M201" s="33"/>
      <c r="N201" s="33"/>
      <c r="O201" s="33"/>
      <c r="P201" s="33"/>
      <c r="Q201" s="33"/>
      <c r="R201" s="33"/>
      <c r="S201" s="33"/>
      <c r="T201" s="33"/>
    </row>
    <row r="202" spans="1:20" ht="52.5" customHeight="1" x14ac:dyDescent="0.25">
      <c r="A202" s="115"/>
      <c r="B202" s="115"/>
      <c r="C202" s="115"/>
      <c r="D202" s="86"/>
      <c r="E202" s="86"/>
      <c r="F202" s="74"/>
      <c r="G202" s="86"/>
      <c r="H202" s="86">
        <f t="shared" si="12"/>
        <v>94.285199999999989</v>
      </c>
      <c r="I202" s="74" t="s">
        <v>226</v>
      </c>
      <c r="J202" s="86">
        <f>78571/1000*1.2</f>
        <v>94.285199999999989</v>
      </c>
      <c r="K202" s="80"/>
      <c r="L202" s="46"/>
      <c r="M202" s="33"/>
      <c r="N202" s="33"/>
      <c r="O202" s="33"/>
      <c r="P202" s="33"/>
      <c r="Q202" s="33"/>
      <c r="R202" s="33"/>
      <c r="S202" s="33"/>
      <c r="T202" s="33"/>
    </row>
    <row r="203" spans="1:20" ht="52.5" customHeight="1" x14ac:dyDescent="0.25">
      <c r="A203" s="115"/>
      <c r="B203" s="115"/>
      <c r="C203" s="115"/>
      <c r="D203" s="86"/>
      <c r="E203" s="86"/>
      <c r="F203" s="74"/>
      <c r="G203" s="86"/>
      <c r="H203" s="86">
        <f t="shared" si="12"/>
        <v>66.141599999999997</v>
      </c>
      <c r="I203" s="74" t="s">
        <v>188</v>
      </c>
      <c r="J203" s="86">
        <f>55118*1.2/1000</f>
        <v>66.141599999999997</v>
      </c>
      <c r="K203" s="80"/>
      <c r="L203" s="46"/>
      <c r="M203" s="33"/>
      <c r="N203" s="33"/>
      <c r="O203" s="33"/>
      <c r="P203" s="33"/>
      <c r="Q203" s="33"/>
      <c r="R203" s="33"/>
      <c r="S203" s="33"/>
      <c r="T203" s="33"/>
    </row>
    <row r="204" spans="1:20" ht="52.5" customHeight="1" x14ac:dyDescent="0.25">
      <c r="A204" s="115"/>
      <c r="B204" s="115"/>
      <c r="C204" s="115"/>
      <c r="D204" s="86"/>
      <c r="E204" s="86"/>
      <c r="F204" s="74"/>
      <c r="G204" s="86"/>
      <c r="H204" s="86">
        <f t="shared" si="12"/>
        <v>662.41200000000003</v>
      </c>
      <c r="I204" s="74" t="s">
        <v>189</v>
      </c>
      <c r="J204" s="86">
        <f>552010*1.2/1000</f>
        <v>662.41200000000003</v>
      </c>
      <c r="K204" s="80"/>
      <c r="L204" s="46"/>
      <c r="M204" s="33"/>
      <c r="N204" s="33"/>
      <c r="O204" s="33"/>
      <c r="P204" s="33"/>
      <c r="Q204" s="33"/>
      <c r="R204" s="33"/>
      <c r="S204" s="33"/>
      <c r="T204" s="33"/>
    </row>
    <row r="205" spans="1:20" ht="52.5" customHeight="1" x14ac:dyDescent="0.25">
      <c r="A205" s="115"/>
      <c r="B205" s="115"/>
      <c r="C205" s="115"/>
      <c r="D205" s="86"/>
      <c r="E205" s="86"/>
      <c r="F205" s="74"/>
      <c r="G205" s="86"/>
      <c r="H205" s="86">
        <f t="shared" si="12"/>
        <v>1402.1448</v>
      </c>
      <c r="I205" s="74" t="s">
        <v>190</v>
      </c>
      <c r="J205" s="86">
        <f>1168454*1.2/1000</f>
        <v>1402.1448</v>
      </c>
      <c r="K205" s="80"/>
      <c r="L205" s="46"/>
      <c r="M205" s="33"/>
      <c r="N205" s="33"/>
      <c r="O205" s="33"/>
      <c r="P205" s="33"/>
      <c r="Q205" s="33"/>
      <c r="R205" s="33"/>
      <c r="S205" s="33"/>
      <c r="T205" s="33"/>
    </row>
    <row r="206" spans="1:20" ht="52.5" customHeight="1" x14ac:dyDescent="0.25">
      <c r="A206" s="115"/>
      <c r="B206" s="115"/>
      <c r="C206" s="115"/>
      <c r="D206" s="86"/>
      <c r="E206" s="86"/>
      <c r="F206" s="74"/>
      <c r="G206" s="86"/>
      <c r="H206" s="86">
        <f t="shared" si="12"/>
        <v>345.40559999999999</v>
      </c>
      <c r="I206" s="74" t="s">
        <v>191</v>
      </c>
      <c r="J206" s="86">
        <f>287838/1000*1.2</f>
        <v>345.40559999999999</v>
      </c>
      <c r="K206" s="80"/>
      <c r="L206" s="46"/>
      <c r="M206" s="33"/>
      <c r="N206" s="33"/>
      <c r="O206" s="33"/>
      <c r="P206" s="33"/>
      <c r="Q206" s="33"/>
      <c r="R206" s="33"/>
      <c r="S206" s="33"/>
      <c r="T206" s="33"/>
    </row>
    <row r="207" spans="1:20" ht="96.75" customHeight="1" x14ac:dyDescent="0.25">
      <c r="A207" s="115"/>
      <c r="B207" s="84" t="s">
        <v>109</v>
      </c>
      <c r="C207" s="84" t="s">
        <v>110</v>
      </c>
      <c r="D207" s="79">
        <f>3867545.75/1000</f>
        <v>3867.5457500000002</v>
      </c>
      <c r="E207" s="86">
        <f>G207</f>
        <v>3074.29261</v>
      </c>
      <c r="F207" s="74" t="s">
        <v>115</v>
      </c>
      <c r="G207" s="86">
        <f>3074292.61/1000</f>
        <v>3074.29261</v>
      </c>
      <c r="H207" s="86">
        <f>J207</f>
        <v>3074.29261</v>
      </c>
      <c r="I207" s="74" t="s">
        <v>132</v>
      </c>
      <c r="J207" s="86">
        <f>3074292.61/1000</f>
        <v>3074.29261</v>
      </c>
      <c r="K207" s="81"/>
      <c r="L207" s="46"/>
      <c r="M207" s="33"/>
      <c r="N207" s="33"/>
      <c r="O207" s="33"/>
      <c r="P207" s="33"/>
      <c r="Q207" s="33"/>
      <c r="R207" s="33"/>
      <c r="S207" s="33"/>
      <c r="T207" s="33"/>
    </row>
    <row r="208" spans="1:20" ht="96.75" customHeight="1" x14ac:dyDescent="0.25">
      <c r="A208" s="115"/>
      <c r="B208" s="84" t="s">
        <v>147</v>
      </c>
      <c r="C208" s="84" t="s">
        <v>148</v>
      </c>
      <c r="D208" s="79"/>
      <c r="E208" s="86">
        <f>+G208</f>
        <v>3157.7472000000002</v>
      </c>
      <c r="F208" s="74" t="s">
        <v>149</v>
      </c>
      <c r="G208" s="86">
        <f>3157747.2/1000</f>
        <v>3157.7472000000002</v>
      </c>
      <c r="H208" s="86"/>
      <c r="I208" s="74"/>
      <c r="J208" s="86"/>
      <c r="K208" s="81"/>
      <c r="L208" s="46"/>
      <c r="M208" s="33"/>
      <c r="N208" s="33"/>
      <c r="O208" s="33"/>
      <c r="P208" s="33"/>
      <c r="Q208" s="33"/>
      <c r="R208" s="33"/>
      <c r="S208" s="33"/>
      <c r="T208" s="33"/>
    </row>
    <row r="209" spans="1:20" ht="63" customHeight="1" x14ac:dyDescent="0.25">
      <c r="A209" s="115"/>
      <c r="B209" s="84" t="s">
        <v>173</v>
      </c>
      <c r="C209" s="84" t="s">
        <v>174</v>
      </c>
      <c r="D209" s="79"/>
      <c r="E209" s="86"/>
      <c r="F209" s="74"/>
      <c r="G209" s="86"/>
      <c r="H209" s="86">
        <f>+J209</f>
        <v>39.131399999999999</v>
      </c>
      <c r="I209" s="74" t="s">
        <v>192</v>
      </c>
      <c r="J209" s="86">
        <f>39131.4/1000</f>
        <v>39.131399999999999</v>
      </c>
      <c r="K209" s="82" t="s">
        <v>175</v>
      </c>
      <c r="L209" s="46"/>
      <c r="M209" s="33"/>
      <c r="N209" s="33"/>
      <c r="O209" s="33"/>
      <c r="P209" s="33"/>
      <c r="Q209" s="33"/>
      <c r="R209" s="33"/>
      <c r="S209" s="33"/>
      <c r="T209" s="33"/>
    </row>
    <row r="210" spans="1:20" ht="36.75" customHeight="1" x14ac:dyDescent="0.25">
      <c r="A210" s="115"/>
      <c r="B210" s="115" t="s">
        <v>28</v>
      </c>
      <c r="C210" s="115"/>
      <c r="D210" s="115"/>
      <c r="E210" s="86">
        <f t="shared" ref="E210:E212" si="13">G210</f>
        <v>362.73541299999999</v>
      </c>
      <c r="F210" s="86"/>
      <c r="G210" s="86">
        <f>362735.413/1000</f>
        <v>362.73541299999999</v>
      </c>
      <c r="H210" s="86">
        <f t="shared" ref="H210:H211" si="14">J210</f>
        <v>436.26371</v>
      </c>
      <c r="I210" s="86"/>
      <c r="J210" s="86">
        <f>436263.71/1000</f>
        <v>436.26371</v>
      </c>
      <c r="K210" s="81"/>
      <c r="L210" s="46"/>
      <c r="M210" s="33"/>
      <c r="N210" s="33"/>
      <c r="O210" s="33"/>
      <c r="P210" s="33"/>
      <c r="Q210" s="33"/>
      <c r="R210" s="33"/>
      <c r="S210" s="33"/>
      <c r="T210" s="33"/>
    </row>
    <row r="211" spans="1:20" ht="36.75" customHeight="1" x14ac:dyDescent="0.25">
      <c r="A211" s="115"/>
      <c r="B211" s="115" t="s">
        <v>33</v>
      </c>
      <c r="C211" s="115"/>
      <c r="D211" s="115"/>
      <c r="E211" s="86">
        <f t="shared" si="13"/>
        <v>363.643197017452</v>
      </c>
      <c r="F211" s="86"/>
      <c r="G211" s="86">
        <v>363.643197017452</v>
      </c>
      <c r="H211" s="86">
        <f t="shared" si="14"/>
        <v>65.389830000000003</v>
      </c>
      <c r="I211" s="86"/>
      <c r="J211" s="86">
        <f>65389.83/1000</f>
        <v>65.389830000000003</v>
      </c>
      <c r="K211" s="80"/>
      <c r="L211" s="46"/>
      <c r="M211" s="33"/>
      <c r="N211" s="33"/>
      <c r="O211" s="33"/>
      <c r="P211" s="33"/>
      <c r="Q211" s="33"/>
      <c r="R211" s="33"/>
      <c r="S211" s="33"/>
      <c r="T211" s="33"/>
    </row>
    <row r="212" spans="1:20" ht="36.75" customHeight="1" x14ac:dyDescent="0.25">
      <c r="A212" s="115"/>
      <c r="B212" s="115" t="s">
        <v>34</v>
      </c>
      <c r="C212" s="115"/>
      <c r="D212" s="115"/>
      <c r="E212" s="86">
        <f t="shared" si="13"/>
        <v>68.213239999999999</v>
      </c>
      <c r="F212" s="86"/>
      <c r="G212" s="86">
        <f>68213.24/1000</f>
        <v>68.213239999999999</v>
      </c>
      <c r="H212" s="86">
        <f>J212</f>
        <v>89.456140000000005</v>
      </c>
      <c r="I212" s="86"/>
      <c r="J212" s="86">
        <v>89.456140000000005</v>
      </c>
      <c r="K212" s="80"/>
      <c r="L212" s="46"/>
      <c r="M212" s="33"/>
      <c r="N212" s="33"/>
      <c r="O212" s="33"/>
      <c r="P212" s="33"/>
      <c r="Q212" s="33"/>
      <c r="R212" s="33"/>
      <c r="S212" s="33"/>
      <c r="T212" s="33"/>
    </row>
    <row r="213" spans="1:20" ht="36.75" customHeight="1" x14ac:dyDescent="0.25">
      <c r="A213" s="115"/>
      <c r="B213" s="115" t="s">
        <v>218</v>
      </c>
      <c r="C213" s="115"/>
      <c r="D213" s="115"/>
      <c r="E213" s="86">
        <f>+G213</f>
        <v>131.57935719148801</v>
      </c>
      <c r="F213" s="86"/>
      <c r="G213" s="86">
        <f>131579.357191488/1000</f>
        <v>131.57935719148801</v>
      </c>
      <c r="H213" s="86">
        <f>+J213</f>
        <v>184.14169000000001</v>
      </c>
      <c r="I213" s="86"/>
      <c r="J213" s="86">
        <f>184141.69/1000</f>
        <v>184.14169000000001</v>
      </c>
      <c r="K213" s="80"/>
      <c r="L213" s="46"/>
      <c r="M213" s="33"/>
      <c r="N213" s="33"/>
      <c r="O213" s="33"/>
      <c r="P213" s="33"/>
      <c r="Q213" s="33"/>
      <c r="R213" s="33"/>
      <c r="S213" s="33"/>
      <c r="T213" s="33"/>
    </row>
    <row r="214" spans="1:20" ht="36.75" customHeight="1" x14ac:dyDescent="0.25">
      <c r="A214" s="115"/>
      <c r="B214" s="115" t="s">
        <v>178</v>
      </c>
      <c r="C214" s="115"/>
      <c r="D214" s="115"/>
      <c r="E214" s="86">
        <f>+G214</f>
        <v>187.39058623412498</v>
      </c>
      <c r="F214" s="86"/>
      <c r="G214" s="86">
        <f>187390.586234125/1000</f>
        <v>187.39058623412498</v>
      </c>
      <c r="H214" s="86">
        <f>+J214</f>
        <v>239.53273000000002</v>
      </c>
      <c r="I214" s="86"/>
      <c r="J214" s="86">
        <f>239532.73/1000</f>
        <v>239.53273000000002</v>
      </c>
      <c r="K214" s="80"/>
      <c r="L214" s="46"/>
      <c r="M214" s="33"/>
      <c r="N214" s="33"/>
      <c r="O214" s="33"/>
      <c r="P214" s="33"/>
      <c r="Q214" s="33"/>
      <c r="R214" s="33"/>
      <c r="S214" s="33"/>
      <c r="T214" s="33"/>
    </row>
    <row r="215" spans="1:20" ht="36.75" customHeight="1" x14ac:dyDescent="0.25">
      <c r="A215" s="115"/>
      <c r="B215" s="115" t="s">
        <v>155</v>
      </c>
      <c r="C215" s="115"/>
      <c r="D215" s="115"/>
      <c r="E215" s="86">
        <f>+G215</f>
        <v>836.99300837859005</v>
      </c>
      <c r="F215" s="86"/>
      <c r="G215" s="86">
        <f>836993.00837859/1000</f>
        <v>836.99300837859005</v>
      </c>
      <c r="H215" s="86">
        <f>+J215</f>
        <v>1818.3142499999999</v>
      </c>
      <c r="I215" s="86"/>
      <c r="J215" s="86">
        <f>1818314.25/1000</f>
        <v>1818.3142499999999</v>
      </c>
      <c r="K215" s="80"/>
      <c r="L215" s="46"/>
      <c r="M215" s="33"/>
      <c r="N215" s="33"/>
      <c r="O215" s="33"/>
      <c r="P215" s="33"/>
      <c r="Q215" s="33"/>
      <c r="R215" s="33"/>
      <c r="S215" s="33"/>
      <c r="T215" s="33"/>
    </row>
    <row r="216" spans="1:20" ht="64.5" customHeight="1" x14ac:dyDescent="0.25">
      <c r="A216" s="115" t="s">
        <v>69</v>
      </c>
      <c r="B216" s="115" t="s">
        <v>156</v>
      </c>
      <c r="C216" s="115" t="s">
        <v>198</v>
      </c>
      <c r="D216" s="84"/>
      <c r="E216" s="86">
        <f>+G216</f>
        <v>96.943789999999993</v>
      </c>
      <c r="F216" s="74" t="s">
        <v>158</v>
      </c>
      <c r="G216" s="86">
        <f>96943.79/1000</f>
        <v>96.943789999999993</v>
      </c>
      <c r="H216" s="86"/>
      <c r="I216" s="86"/>
      <c r="J216" s="86"/>
      <c r="K216" s="33"/>
      <c r="L216" s="46"/>
      <c r="M216" s="33"/>
      <c r="N216" s="33"/>
      <c r="O216" s="33"/>
      <c r="P216" s="33"/>
      <c r="Q216" s="33"/>
      <c r="R216" s="33"/>
      <c r="S216" s="33"/>
      <c r="T216" s="33"/>
    </row>
    <row r="217" spans="1:20" ht="36.75" customHeight="1" x14ac:dyDescent="0.25">
      <c r="A217" s="115"/>
      <c r="B217" s="115"/>
      <c r="C217" s="115"/>
      <c r="D217" s="84"/>
      <c r="E217" s="86">
        <f>+G217</f>
        <v>36.256129999999999</v>
      </c>
      <c r="F217" s="74" t="s">
        <v>157</v>
      </c>
      <c r="G217" s="86">
        <f>36256.13/1000</f>
        <v>36.256129999999999</v>
      </c>
      <c r="H217" s="86"/>
      <c r="I217" s="86"/>
      <c r="J217" s="86"/>
      <c r="K217" s="33"/>
      <c r="L217" s="46"/>
      <c r="M217" s="33"/>
      <c r="N217" s="33"/>
      <c r="O217" s="33"/>
      <c r="P217" s="33"/>
      <c r="Q217" s="33"/>
      <c r="R217" s="33"/>
      <c r="S217" s="33"/>
      <c r="T217" s="33"/>
    </row>
    <row r="218" spans="1:20" ht="33" customHeight="1" x14ac:dyDescent="0.25">
      <c r="A218" s="115"/>
      <c r="B218" s="115" t="s">
        <v>28</v>
      </c>
      <c r="C218" s="115"/>
      <c r="D218" s="115"/>
      <c r="E218" s="86">
        <f t="shared" ref="E218:E220" si="15">G218</f>
        <v>2.0525545286506497</v>
      </c>
      <c r="F218" s="86"/>
      <c r="G218" s="86">
        <v>2.0525545286506497</v>
      </c>
      <c r="H218" s="86">
        <f t="shared" ref="H218:H219" si="16">J218</f>
        <v>9.0361000000000011</v>
      </c>
      <c r="I218" s="86"/>
      <c r="J218" s="86">
        <v>9.0361000000000011</v>
      </c>
      <c r="K218" s="33"/>
      <c r="L218" s="46"/>
      <c r="M218" s="33"/>
      <c r="N218" s="33"/>
      <c r="O218" s="33"/>
      <c r="P218" s="33"/>
      <c r="Q218" s="33"/>
      <c r="R218" s="33"/>
      <c r="S218" s="33"/>
      <c r="T218" s="33"/>
    </row>
    <row r="219" spans="1:20" ht="29.25" customHeight="1" x14ac:dyDescent="0.25">
      <c r="A219" s="115"/>
      <c r="B219" s="115" t="s">
        <v>33</v>
      </c>
      <c r="C219" s="115"/>
      <c r="D219" s="115"/>
      <c r="E219" s="86">
        <f t="shared" si="15"/>
        <v>8.1137939062752196</v>
      </c>
      <c r="F219" s="86"/>
      <c r="G219" s="86">
        <v>8.1137939062752196</v>
      </c>
      <c r="H219" s="86">
        <f t="shared" si="16"/>
        <v>2.7913999999999999</v>
      </c>
      <c r="I219" s="86"/>
      <c r="J219" s="86">
        <v>2.7913999999999999</v>
      </c>
      <c r="K219" s="33"/>
      <c r="L219" s="46"/>
      <c r="M219" s="33"/>
      <c r="N219" s="33"/>
      <c r="O219" s="33"/>
      <c r="P219" s="33"/>
      <c r="Q219" s="33"/>
      <c r="R219" s="33"/>
      <c r="S219" s="33"/>
      <c r="T219" s="33"/>
    </row>
    <row r="220" spans="1:20" ht="30" customHeight="1" x14ac:dyDescent="0.25">
      <c r="A220" s="115"/>
      <c r="B220" s="115" t="s">
        <v>34</v>
      </c>
      <c r="C220" s="115"/>
      <c r="D220" s="115"/>
      <c r="E220" s="86">
        <f t="shared" si="15"/>
        <v>1.6611515650741402</v>
      </c>
      <c r="F220" s="86"/>
      <c r="G220" s="86">
        <v>1.6611515650741402</v>
      </c>
      <c r="H220" s="86"/>
      <c r="I220" s="86"/>
      <c r="J220" s="86"/>
      <c r="K220" s="33"/>
      <c r="L220" s="46"/>
      <c r="M220" s="33"/>
      <c r="N220" s="33"/>
      <c r="O220" s="33"/>
      <c r="P220" s="33"/>
      <c r="Q220" s="33"/>
      <c r="R220" s="33"/>
      <c r="S220" s="33"/>
      <c r="T220" s="33"/>
    </row>
    <row r="221" spans="1:20" ht="30" customHeight="1" x14ac:dyDescent="0.25">
      <c r="A221" s="115"/>
      <c r="B221" s="115" t="s">
        <v>218</v>
      </c>
      <c r="C221" s="115"/>
      <c r="D221" s="115"/>
      <c r="E221" s="86">
        <f>+G221</f>
        <v>2.5238994992846902</v>
      </c>
      <c r="F221" s="86"/>
      <c r="G221" s="86">
        <f>2523.89949928469/1000</f>
        <v>2.5238994992846902</v>
      </c>
      <c r="H221" s="86">
        <f>+J221</f>
        <v>6.5070500000000004</v>
      </c>
      <c r="I221" s="86"/>
      <c r="J221" s="86">
        <f>6507.05/1000</f>
        <v>6.5070500000000004</v>
      </c>
      <c r="K221" s="33"/>
      <c r="L221" s="46"/>
      <c r="M221" s="33"/>
      <c r="N221" s="33"/>
      <c r="O221" s="33"/>
      <c r="P221" s="33"/>
      <c r="Q221" s="33"/>
      <c r="R221" s="33"/>
      <c r="S221" s="33"/>
      <c r="T221" s="33"/>
    </row>
    <row r="222" spans="1:20" ht="30" customHeight="1" x14ac:dyDescent="0.25">
      <c r="A222" s="115"/>
      <c r="B222" s="115" t="s">
        <v>178</v>
      </c>
      <c r="C222" s="115"/>
      <c r="D222" s="115"/>
      <c r="E222" s="86">
        <f>+G222</f>
        <v>7.5288335174750802</v>
      </c>
      <c r="F222" s="86"/>
      <c r="G222" s="86">
        <f>7528.83351747508/1000</f>
        <v>7.5288335174750802</v>
      </c>
      <c r="H222" s="86">
        <f>+J222</f>
        <v>11.42417</v>
      </c>
      <c r="I222" s="86"/>
      <c r="J222" s="86">
        <f>11424.17/1000</f>
        <v>11.42417</v>
      </c>
      <c r="K222" s="33"/>
      <c r="L222" s="46"/>
      <c r="M222" s="33"/>
      <c r="N222" s="33"/>
      <c r="O222" s="33"/>
      <c r="P222" s="33"/>
      <c r="Q222" s="33"/>
      <c r="R222" s="33"/>
      <c r="S222" s="33"/>
      <c r="T222" s="33"/>
    </row>
    <row r="223" spans="1:20" ht="30" customHeight="1" x14ac:dyDescent="0.25">
      <c r="A223" s="115"/>
      <c r="B223" s="115" t="s">
        <v>155</v>
      </c>
      <c r="C223" s="115"/>
      <c r="D223" s="115"/>
      <c r="E223" s="86">
        <f>+G223</f>
        <v>11.207952324486499</v>
      </c>
      <c r="F223" s="86"/>
      <c r="G223" s="86">
        <f>11207.9523244865/1000</f>
        <v>11.207952324486499</v>
      </c>
      <c r="H223" s="86">
        <f>+J223</f>
        <v>9.1020699999999994</v>
      </c>
      <c r="I223" s="86"/>
      <c r="J223" s="86">
        <f>9102.07/1000</f>
        <v>9.1020699999999994</v>
      </c>
      <c r="K223" s="33"/>
      <c r="L223" s="46"/>
      <c r="M223" s="33"/>
      <c r="N223" s="33"/>
      <c r="O223" s="33"/>
      <c r="P223" s="33"/>
      <c r="Q223" s="33"/>
      <c r="R223" s="33"/>
      <c r="S223" s="33"/>
      <c r="T223" s="33"/>
    </row>
    <row r="224" spans="1:20" x14ac:dyDescent="0.25">
      <c r="A224" s="93" t="s">
        <v>17</v>
      </c>
      <c r="B224" s="124"/>
      <c r="C224" s="124"/>
      <c r="D224" s="124"/>
      <c r="E224" s="94">
        <f>SUM(E78:E223)</f>
        <v>59610.745231713801</v>
      </c>
      <c r="F224" s="94"/>
      <c r="G224" s="94">
        <f>SUM(G78:G223)</f>
        <v>59610.745231713801</v>
      </c>
      <c r="H224" s="94">
        <f>SUM(H78:H223)</f>
        <v>39985.942457999998</v>
      </c>
      <c r="I224" s="94"/>
      <c r="J224" s="94">
        <f>SUM(J78:J223)</f>
        <v>39985.942457999998</v>
      </c>
      <c r="K224" s="33"/>
      <c r="L224" s="33"/>
      <c r="M224" s="33"/>
      <c r="N224" s="33"/>
      <c r="O224" s="33"/>
      <c r="P224" s="33"/>
      <c r="Q224" s="33"/>
      <c r="R224" s="33"/>
      <c r="S224" s="33"/>
      <c r="T224" s="33"/>
    </row>
    <row r="225" spans="1:20" ht="28.5" customHeight="1" x14ac:dyDescent="0.25">
      <c r="A225" s="93" t="s">
        <v>26</v>
      </c>
      <c r="B225" s="127"/>
      <c r="C225" s="127"/>
      <c r="D225" s="127"/>
      <c r="E225" s="94">
        <f>E76+E224</f>
        <v>72034.24969441646</v>
      </c>
      <c r="F225" s="94"/>
      <c r="G225" s="94">
        <f>G76+G224</f>
        <v>72034.24969441646</v>
      </c>
      <c r="H225" s="94">
        <f>H76+H224</f>
        <v>45979.145484000001</v>
      </c>
      <c r="I225" s="39"/>
      <c r="J225" s="94">
        <f>J76+J224</f>
        <v>45979.145484000001</v>
      </c>
      <c r="K225" s="33"/>
      <c r="L225" s="33"/>
      <c r="M225" s="33"/>
      <c r="N225" s="33"/>
      <c r="O225" s="33"/>
      <c r="P225" s="33"/>
      <c r="Q225" s="33"/>
      <c r="R225" s="33"/>
      <c r="S225" s="33"/>
      <c r="T225" s="33"/>
    </row>
    <row r="226" spans="1:20" ht="27.75" customHeight="1" x14ac:dyDescent="0.3">
      <c r="A226" s="51" t="s">
        <v>21</v>
      </c>
      <c r="B226" s="52"/>
      <c r="C226" s="52"/>
      <c r="D226" s="52"/>
      <c r="E226" s="53" t="s">
        <v>23</v>
      </c>
      <c r="F226" s="34"/>
      <c r="G226" s="33"/>
      <c r="H226" s="33"/>
      <c r="I226" s="33"/>
      <c r="J226" s="33"/>
      <c r="K226" s="33"/>
      <c r="L226" s="46"/>
      <c r="M226" s="33"/>
    </row>
    <row r="227" spans="1:20" ht="27.75" customHeight="1" x14ac:dyDescent="0.3">
      <c r="A227" s="51"/>
      <c r="B227" s="52"/>
      <c r="C227" s="52"/>
      <c r="D227" s="52"/>
      <c r="E227" s="53"/>
      <c r="F227" s="34"/>
      <c r="G227" s="33"/>
      <c r="H227" s="33"/>
      <c r="I227" s="33"/>
      <c r="J227" s="33"/>
      <c r="K227" s="33"/>
      <c r="L227" s="46"/>
      <c r="M227" s="33"/>
    </row>
    <row r="228" spans="1:20" ht="18.75" x14ac:dyDescent="0.3">
      <c r="A228" s="55" t="s">
        <v>42</v>
      </c>
      <c r="B228" s="56"/>
      <c r="C228" s="56"/>
      <c r="D228" s="57"/>
      <c r="E228" s="56" t="s">
        <v>22</v>
      </c>
      <c r="F228" s="34"/>
      <c r="J228" s="70"/>
    </row>
    <row r="231" spans="1:20" x14ac:dyDescent="0.25">
      <c r="H231" s="71"/>
    </row>
    <row r="233" spans="1:20" x14ac:dyDescent="0.25">
      <c r="L233" s="71"/>
    </row>
    <row r="236" spans="1:20" x14ac:dyDescent="0.25">
      <c r="H236" s="72"/>
    </row>
    <row r="237" spans="1:20" x14ac:dyDescent="0.25">
      <c r="L237" s="71"/>
    </row>
  </sheetData>
  <mergeCells count="225">
    <mergeCell ref="B188:D188"/>
    <mergeCell ref="B165:D165"/>
    <mergeCell ref="B222:D222"/>
    <mergeCell ref="A22:A26"/>
    <mergeCell ref="B26:D26"/>
    <mergeCell ref="B51:D51"/>
    <mergeCell ref="A47:A51"/>
    <mergeCell ref="B64:D64"/>
    <mergeCell ref="A60:A64"/>
    <mergeCell ref="B99:D99"/>
    <mergeCell ref="B174:D174"/>
    <mergeCell ref="B166:D167"/>
    <mergeCell ref="A141:A167"/>
    <mergeCell ref="B93:D93"/>
    <mergeCell ref="B127:D127"/>
    <mergeCell ref="B216:B217"/>
    <mergeCell ref="C216:C217"/>
    <mergeCell ref="B49:D49"/>
    <mergeCell ref="B52:D52"/>
    <mergeCell ref="B53:D53"/>
    <mergeCell ref="D73:D74"/>
    <mergeCell ref="B78:D78"/>
    <mergeCell ref="B88:D88"/>
    <mergeCell ref="B112:D112"/>
    <mergeCell ref="B225:D225"/>
    <mergeCell ref="B224:D224"/>
    <mergeCell ref="D197:D199"/>
    <mergeCell ref="B121:D121"/>
    <mergeCell ref="B129:D129"/>
    <mergeCell ref="B122:D122"/>
    <mergeCell ref="B123:D123"/>
    <mergeCell ref="B124:D124"/>
    <mergeCell ref="A176:A183"/>
    <mergeCell ref="B182:B183"/>
    <mergeCell ref="C182:C183"/>
    <mergeCell ref="D182:D183"/>
    <mergeCell ref="A168:A169"/>
    <mergeCell ref="B162:D162"/>
    <mergeCell ref="B210:D210"/>
    <mergeCell ref="B211:D211"/>
    <mergeCell ref="B212:D212"/>
    <mergeCell ref="B220:D220"/>
    <mergeCell ref="B172:D172"/>
    <mergeCell ref="B176:D176"/>
    <mergeCell ref="B192:D192"/>
    <mergeCell ref="B193:D193"/>
    <mergeCell ref="B218:D218"/>
    <mergeCell ref="B219:D219"/>
    <mergeCell ref="A2:J2"/>
    <mergeCell ref="A3:J3"/>
    <mergeCell ref="A4:J4"/>
    <mergeCell ref="A6:A7"/>
    <mergeCell ref="B6:C6"/>
    <mergeCell ref="D6:D7"/>
    <mergeCell ref="E6:E7"/>
    <mergeCell ref="F6:G6"/>
    <mergeCell ref="H6:H7"/>
    <mergeCell ref="I6:J6"/>
    <mergeCell ref="A8:J8"/>
    <mergeCell ref="B23:D23"/>
    <mergeCell ref="B24:D24"/>
    <mergeCell ref="B76:D76"/>
    <mergeCell ref="A77:J77"/>
    <mergeCell ref="B33:D33"/>
    <mergeCell ref="B128:D128"/>
    <mergeCell ref="B57:D57"/>
    <mergeCell ref="B58:D58"/>
    <mergeCell ref="B60:D60"/>
    <mergeCell ref="B71:D71"/>
    <mergeCell ref="B56:D56"/>
    <mergeCell ref="B61:D61"/>
    <mergeCell ref="B62:D62"/>
    <mergeCell ref="B79:D79"/>
    <mergeCell ref="B80:D80"/>
    <mergeCell ref="B109:D109"/>
    <mergeCell ref="B73:B74"/>
    <mergeCell ref="C73:C74"/>
    <mergeCell ref="B108:D108"/>
    <mergeCell ref="B9:D9"/>
    <mergeCell ref="B10:D10"/>
    <mergeCell ref="B41:D41"/>
    <mergeCell ref="B54:D54"/>
    <mergeCell ref="B92:D92"/>
    <mergeCell ref="A41:A46"/>
    <mergeCell ref="B45:D45"/>
    <mergeCell ref="B132:D132"/>
    <mergeCell ref="B139:D139"/>
    <mergeCell ref="B90:D90"/>
    <mergeCell ref="B95:D95"/>
    <mergeCell ref="B96:D96"/>
    <mergeCell ref="B97:D97"/>
    <mergeCell ref="A88:A93"/>
    <mergeCell ref="B107:D107"/>
    <mergeCell ref="B11:D11"/>
    <mergeCell ref="B14:D14"/>
    <mergeCell ref="B15:D15"/>
    <mergeCell ref="B16:D16"/>
    <mergeCell ref="B22:D22"/>
    <mergeCell ref="B13:D13"/>
    <mergeCell ref="A9:A13"/>
    <mergeCell ref="B18:D18"/>
    <mergeCell ref="A14:A18"/>
    <mergeCell ref="A20:A21"/>
    <mergeCell ref="B20:B21"/>
    <mergeCell ref="C20:C21"/>
    <mergeCell ref="A27:A33"/>
    <mergeCell ref="A73:A75"/>
    <mergeCell ref="B141:B146"/>
    <mergeCell ref="B160:D160"/>
    <mergeCell ref="B156:D156"/>
    <mergeCell ref="B155:D155"/>
    <mergeCell ref="B113:D113"/>
    <mergeCell ref="B114:D114"/>
    <mergeCell ref="B157:D157"/>
    <mergeCell ref="B115:D115"/>
    <mergeCell ref="B135:D135"/>
    <mergeCell ref="B136:D136"/>
    <mergeCell ref="B130:D130"/>
    <mergeCell ref="B48:D48"/>
    <mergeCell ref="B65:D65"/>
    <mergeCell ref="B66:D66"/>
    <mergeCell ref="B67:D67"/>
    <mergeCell ref="B27:B31"/>
    <mergeCell ref="C27:C31"/>
    <mergeCell ref="B111:D111"/>
    <mergeCell ref="D141:D146"/>
    <mergeCell ref="A39:A40"/>
    <mergeCell ref="B47:D47"/>
    <mergeCell ref="B126:D126"/>
    <mergeCell ref="B223:D223"/>
    <mergeCell ref="B215:D215"/>
    <mergeCell ref="A197:A215"/>
    <mergeCell ref="B189:D189"/>
    <mergeCell ref="A184:A189"/>
    <mergeCell ref="A216:A223"/>
    <mergeCell ref="A103:A112"/>
    <mergeCell ref="B103:B104"/>
    <mergeCell ref="C103:C104"/>
    <mergeCell ref="D103:D104"/>
    <mergeCell ref="B197:B206"/>
    <mergeCell ref="C197:C206"/>
    <mergeCell ref="B214:D214"/>
    <mergeCell ref="B118:D118"/>
    <mergeCell ref="B180:D180"/>
    <mergeCell ref="B196:D196"/>
    <mergeCell ref="A190:A196"/>
    <mergeCell ref="B140:D140"/>
    <mergeCell ref="A134:A140"/>
    <mergeCell ref="B133:D133"/>
    <mergeCell ref="A128:A133"/>
    <mergeCell ref="B159:D159"/>
    <mergeCell ref="A170:A175"/>
    <mergeCell ref="B186:D186"/>
    <mergeCell ref="B195:D195"/>
    <mergeCell ref="B117:D117"/>
    <mergeCell ref="B181:D181"/>
    <mergeCell ref="B100:D100"/>
    <mergeCell ref="A34:A36"/>
    <mergeCell ref="B83:B84"/>
    <mergeCell ref="C83:C84"/>
    <mergeCell ref="D83:D84"/>
    <mergeCell ref="A82:A84"/>
    <mergeCell ref="A85:A87"/>
    <mergeCell ref="B86:B87"/>
    <mergeCell ref="C86:C87"/>
    <mergeCell ref="D86:D87"/>
    <mergeCell ref="B46:D46"/>
    <mergeCell ref="B69:D69"/>
    <mergeCell ref="B70:D70"/>
    <mergeCell ref="B39:D39"/>
    <mergeCell ref="B40:D40"/>
    <mergeCell ref="B37:B38"/>
    <mergeCell ref="B191:D191"/>
    <mergeCell ref="B177:D177"/>
    <mergeCell ref="B50:D50"/>
    <mergeCell ref="B131:D131"/>
    <mergeCell ref="B138:D138"/>
    <mergeCell ref="B187:D187"/>
    <mergeCell ref="B164:D164"/>
    <mergeCell ref="B98:D98"/>
    <mergeCell ref="C37:C38"/>
    <mergeCell ref="D37:D38"/>
    <mergeCell ref="A37:A38"/>
    <mergeCell ref="A113:A120"/>
    <mergeCell ref="B119:B120"/>
    <mergeCell ref="C119:C120"/>
    <mergeCell ref="A95:A101"/>
    <mergeCell ref="B158:D158"/>
    <mergeCell ref="B178:D178"/>
    <mergeCell ref="B184:D184"/>
    <mergeCell ref="B185:D185"/>
    <mergeCell ref="B161:D161"/>
    <mergeCell ref="C141:C146"/>
    <mergeCell ref="B42:D42"/>
    <mergeCell ref="B43:D43"/>
    <mergeCell ref="B170:D170"/>
    <mergeCell ref="B171:D171"/>
    <mergeCell ref="B89:D89"/>
    <mergeCell ref="A122:A127"/>
    <mergeCell ref="B163:D163"/>
    <mergeCell ref="B137:D137"/>
    <mergeCell ref="B221:D221"/>
    <mergeCell ref="B12:D12"/>
    <mergeCell ref="B17:D17"/>
    <mergeCell ref="B55:D55"/>
    <mergeCell ref="A52:A55"/>
    <mergeCell ref="A56:A59"/>
    <mergeCell ref="B59:D59"/>
    <mergeCell ref="A65:A68"/>
    <mergeCell ref="B68:D68"/>
    <mergeCell ref="B72:D72"/>
    <mergeCell ref="A69:A72"/>
    <mergeCell ref="B81:D81"/>
    <mergeCell ref="A78:A81"/>
    <mergeCell ref="B25:D25"/>
    <mergeCell ref="B110:D110"/>
    <mergeCell ref="B194:D194"/>
    <mergeCell ref="B116:D116"/>
    <mergeCell ref="B173:D173"/>
    <mergeCell ref="B213:D213"/>
    <mergeCell ref="B179:D179"/>
    <mergeCell ref="B125:D125"/>
    <mergeCell ref="B91:D91"/>
    <mergeCell ref="B44:D44"/>
    <mergeCell ref="B63:D63"/>
  </mergeCells>
  <pageMargins left="0.51181102362204722" right="0" top="0.35433070866141736" bottom="0.15748031496062992" header="0.31496062992125984" footer="0.31496062992125984"/>
  <pageSetup paperSize="9" scale="31" fitToHeight="50" orientation="landscape" r:id="rId1"/>
  <rowBreaks count="8" manualBreakCount="8">
    <brk id="26" max="9" man="1"/>
    <brk id="46" max="9" man="1"/>
    <brk id="76" max="9" man="1"/>
    <brk id="102" max="9" man="1"/>
    <brk id="127" max="9" man="1"/>
    <brk id="151" max="9" man="1"/>
    <brk id="176" max="9" man="1"/>
    <brk id="20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ИП 2012-2018</vt:lpstr>
      <vt:lpstr>ИП 2019-2024</vt:lpstr>
      <vt:lpstr>'ИП 2019-2024'!Заголовки_для_печати</vt:lpstr>
      <vt:lpstr>'ИП 2012-2018'!Область_печати</vt:lpstr>
      <vt:lpstr>'ИП 2019-2024'!Область_печати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2020-07-30T12:54:13Z</dcterms:modified>
</cp:coreProperties>
</file>