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240" yWindow="4725" windowWidth="19005" windowHeight="7080"/>
  </bookViews>
  <sheets>
    <sheet name="ИП 2012-2018" sheetId="7" r:id="rId1"/>
    <sheet name="ИП 2019-2024" sheetId="8" r:id="rId2"/>
  </sheets>
  <definedNames>
    <definedName name="_xlnm._FilterDatabase" localSheetId="0" hidden="1">'ИП 2012-2018'!$A$8:$J$8</definedName>
    <definedName name="_xlnm.Print_Titles" localSheetId="1">'ИП 2019-2024'!$A:$J,'ИП 2019-2024'!$6:$7</definedName>
    <definedName name="_xlnm.Print_Area" localSheetId="0">'ИП 2012-2018'!$A$1:$J$128</definedName>
    <definedName name="_xlnm.Print_Area" localSheetId="1">'ИП 2019-2024'!$A$1:$J$265</definedName>
  </definedNames>
  <calcPr calcId="145621" iterate="1"/>
</workbook>
</file>

<file path=xl/calcChain.xml><?xml version="1.0" encoding="utf-8"?>
<calcChain xmlns="http://schemas.openxmlformats.org/spreadsheetml/2006/main">
  <c r="G69" i="7" l="1"/>
  <c r="D80" i="8" l="1"/>
  <c r="H111" i="8" l="1"/>
  <c r="H81" i="8"/>
  <c r="H102" i="8"/>
  <c r="J102" i="8"/>
  <c r="H57" i="8" l="1"/>
  <c r="J233" i="8"/>
  <c r="G67" i="8"/>
  <c r="J67" i="8"/>
  <c r="G233" i="8"/>
  <c r="H227" i="8"/>
  <c r="H226" i="8"/>
  <c r="G97" i="8"/>
  <c r="E97" i="8" s="1"/>
  <c r="G234" i="8" l="1"/>
  <c r="J234" i="8"/>
  <c r="E191" i="8"/>
  <c r="G191" i="8"/>
  <c r="G192" i="8"/>
  <c r="H54" i="8"/>
  <c r="E185" i="8"/>
  <c r="G185" i="8"/>
  <c r="G103" i="8" l="1"/>
  <c r="E103" i="8" s="1"/>
  <c r="J103" i="8"/>
  <c r="J225" i="8"/>
  <c r="J227" i="8" l="1"/>
  <c r="J226" i="8"/>
  <c r="H225" i="8"/>
  <c r="J232" i="8"/>
  <c r="E227" i="8"/>
  <c r="G227" i="8"/>
  <c r="G232" i="8"/>
  <c r="E232" i="8" s="1"/>
  <c r="H232" i="8"/>
  <c r="J180" i="8"/>
  <c r="H180" i="8" s="1"/>
  <c r="J179" i="8"/>
  <c r="H179" i="8" s="1"/>
  <c r="J178" i="8"/>
  <c r="H178" i="8" s="1"/>
  <c r="J177" i="8"/>
  <c r="H177" i="8" s="1"/>
  <c r="J176" i="8"/>
  <c r="H176" i="8" s="1"/>
  <c r="J202" i="8"/>
  <c r="H202" i="8"/>
  <c r="G197" i="8"/>
  <c r="E197" i="8" s="1"/>
  <c r="J197" i="8"/>
  <c r="H197" i="8"/>
  <c r="G179" i="8"/>
  <c r="E179" i="8" s="1"/>
  <c r="G178" i="8"/>
  <c r="E178" i="8" s="1"/>
  <c r="G177" i="8"/>
  <c r="E177" i="8" s="1"/>
  <c r="G176" i="8"/>
  <c r="E176" i="8" s="1"/>
  <c r="G175" i="8"/>
  <c r="E175" i="8" s="1"/>
  <c r="G174" i="8"/>
  <c r="E174" i="8" s="1"/>
  <c r="G173" i="8"/>
  <c r="E173" i="8" s="1"/>
  <c r="G172" i="8"/>
  <c r="E172" i="8" s="1"/>
  <c r="G171" i="8"/>
  <c r="E171" i="8" s="1"/>
  <c r="G170" i="8"/>
  <c r="E170" i="8" s="1"/>
  <c r="G169" i="8"/>
  <c r="E169" i="8" s="1"/>
  <c r="G168" i="8"/>
  <c r="E168" i="8" s="1"/>
  <c r="H211" i="8"/>
  <c r="E211" i="8"/>
  <c r="H150" i="8"/>
  <c r="E150" i="8"/>
  <c r="H139" i="8"/>
  <c r="E139" i="8"/>
  <c r="H124" i="8"/>
  <c r="E124" i="8"/>
  <c r="J114" i="8"/>
  <c r="J113" i="8"/>
  <c r="J111" i="8"/>
  <c r="J112" i="8"/>
  <c r="G112" i="8"/>
  <c r="E112" i="8" s="1"/>
  <c r="J82" i="8"/>
  <c r="J81" i="8" l="1"/>
  <c r="G77" i="8"/>
  <c r="E77" i="8" s="1"/>
  <c r="G100" i="8"/>
  <c r="E100" i="8" s="1"/>
  <c r="E105" i="8"/>
  <c r="E104" i="8"/>
  <c r="E84" i="8"/>
  <c r="E83" i="8"/>
  <c r="G82" i="8"/>
  <c r="E82" i="8" s="1"/>
  <c r="J61" i="8"/>
  <c r="J60" i="8"/>
  <c r="J59" i="8"/>
  <c r="J58" i="8"/>
  <c r="J57" i="8"/>
  <c r="J55" i="8"/>
  <c r="J54" i="8"/>
  <c r="J17" i="8" l="1"/>
  <c r="H17" i="8" s="1"/>
  <c r="J16" i="8"/>
  <c r="H16" i="8" s="1"/>
  <c r="G28" i="8"/>
  <c r="E28" i="8" s="1"/>
  <c r="G16" i="8"/>
  <c r="E16" i="8" s="1"/>
  <c r="J21" i="7"/>
  <c r="H21" i="7" l="1"/>
  <c r="G184" i="8"/>
  <c r="E184" i="8" s="1"/>
  <c r="G98" i="8" l="1"/>
  <c r="E98" i="8" s="1"/>
  <c r="H231" i="8" l="1"/>
  <c r="J222" i="8"/>
  <c r="H222" i="8" s="1"/>
  <c r="G231" i="8"/>
  <c r="E231" i="8" s="1"/>
  <c r="E226" i="8"/>
  <c r="E221" i="8"/>
  <c r="J212" i="8"/>
  <c r="H212" i="8" s="1"/>
  <c r="J175" i="8"/>
  <c r="H175" i="8" s="1"/>
  <c r="J174" i="8"/>
  <c r="H174" i="8" s="1"/>
  <c r="J173" i="8"/>
  <c r="H173" i="8" s="1"/>
  <c r="J172" i="8"/>
  <c r="H172" i="8" s="1"/>
  <c r="J210" i="8"/>
  <c r="H210" i="8" s="1"/>
  <c r="E210" i="8"/>
  <c r="G196" i="8"/>
  <c r="E196" i="8" s="1"/>
  <c r="J196" i="8"/>
  <c r="H196" i="8" s="1"/>
  <c r="G190" i="8"/>
  <c r="E190" i="8" s="1"/>
  <c r="G167" i="8"/>
  <c r="E167" i="8" s="1"/>
  <c r="G166" i="8"/>
  <c r="E166" i="8" s="1"/>
  <c r="G165" i="8"/>
  <c r="E165" i="8" s="1"/>
  <c r="H149" i="8"/>
  <c r="E149" i="8"/>
  <c r="J140" i="8"/>
  <c r="H140" i="8" s="1"/>
  <c r="H138" i="8"/>
  <c r="G138" i="8"/>
  <c r="E138" i="8" s="1"/>
  <c r="G129" i="8"/>
  <c r="E129" i="8" s="1"/>
  <c r="H123" i="8"/>
  <c r="E123" i="8"/>
  <c r="J100" i="8"/>
  <c r="H100" i="8" s="1"/>
  <c r="J77" i="8"/>
  <c r="H77" i="8" s="1"/>
  <c r="E76" i="8"/>
  <c r="G99" i="8"/>
  <c r="E102" i="8"/>
  <c r="E81" i="8"/>
  <c r="E99" i="8" l="1"/>
  <c r="G101" i="8"/>
  <c r="G80" i="8"/>
  <c r="G66" i="8"/>
  <c r="E66" i="8" s="1"/>
  <c r="G53" i="8"/>
  <c r="E53" i="8" s="1"/>
  <c r="G56" i="8"/>
  <c r="E46" i="8"/>
  <c r="H27" i="8"/>
  <c r="E27" i="8"/>
  <c r="G26" i="7"/>
  <c r="J24" i="7"/>
  <c r="J20" i="7"/>
  <c r="H20" i="7" s="1"/>
  <c r="E26" i="7" l="1"/>
  <c r="H24" i="7"/>
  <c r="E101" i="8"/>
  <c r="E80" i="8"/>
  <c r="G65" i="8"/>
  <c r="E65" i="8" s="1"/>
  <c r="H65" i="8"/>
  <c r="J166" i="8"/>
  <c r="H166" i="8" s="1"/>
  <c r="J171" i="8"/>
  <c r="H171" i="8" s="1"/>
  <c r="J170" i="8"/>
  <c r="H170" i="8" s="1"/>
  <c r="J169" i="8"/>
  <c r="H169" i="8" s="1"/>
  <c r="J168" i="8"/>
  <c r="H168" i="8" s="1"/>
  <c r="J167" i="8"/>
  <c r="H167" i="8" s="1"/>
  <c r="J165" i="8"/>
  <c r="H165" i="8" s="1"/>
  <c r="J201" i="8"/>
  <c r="H201" i="8" s="1"/>
  <c r="J209" i="8"/>
  <c r="H209" i="8" s="1"/>
  <c r="E62" i="7"/>
  <c r="J19" i="7" l="1"/>
  <c r="J224" i="8"/>
  <c r="H224" i="8" s="1"/>
  <c r="H19" i="7" l="1"/>
  <c r="J45" i="8"/>
  <c r="J230" i="8" l="1"/>
  <c r="E230" i="8"/>
  <c r="G220" i="8"/>
  <c r="H220" i="8"/>
  <c r="G183" i="8"/>
  <c r="E183" i="8" s="1"/>
  <c r="E220" i="8" l="1"/>
  <c r="H230" i="8"/>
  <c r="G195" i="8"/>
  <c r="E195" i="8" s="1"/>
  <c r="H195" i="8"/>
  <c r="E209" i="8" l="1"/>
  <c r="G186" i="8"/>
  <c r="E186" i="8" s="1"/>
  <c r="G189" i="8" l="1"/>
  <c r="G164" i="8"/>
  <c r="E164" i="8" s="1"/>
  <c r="G163" i="8"/>
  <c r="E163" i="8" s="1"/>
  <c r="G162" i="8"/>
  <c r="E162" i="8" s="1"/>
  <c r="G188" i="8"/>
  <c r="E188" i="8" s="1"/>
  <c r="G161" i="8"/>
  <c r="E161" i="8" s="1"/>
  <c r="G160" i="8"/>
  <c r="E160" i="8" s="1"/>
  <c r="J148" i="8"/>
  <c r="G148" i="8"/>
  <c r="E148" i="8" s="1"/>
  <c r="J137" i="8"/>
  <c r="H137" i="8" s="1"/>
  <c r="G137" i="8"/>
  <c r="E137" i="8" s="1"/>
  <c r="J122" i="8"/>
  <c r="H122" i="8" s="1"/>
  <c r="G122" i="8"/>
  <c r="E122" i="8" s="1"/>
  <c r="G109" i="8"/>
  <c r="E109" i="8" s="1"/>
  <c r="G88" i="8"/>
  <c r="E88" i="8" s="1"/>
  <c r="H148" i="8" l="1"/>
  <c r="E189" i="8"/>
  <c r="G52" i="8"/>
  <c r="E52" i="8" s="1"/>
  <c r="E56" i="8"/>
  <c r="H45" i="8"/>
  <c r="G45" i="8"/>
  <c r="E45" i="8" s="1"/>
  <c r="G26" i="8"/>
  <c r="E26" i="8" s="1"/>
  <c r="H26" i="8"/>
  <c r="G15" i="8" l="1"/>
  <c r="E15" i="8" l="1"/>
  <c r="E69" i="7"/>
  <c r="G33" i="7" l="1"/>
  <c r="E33" i="7" l="1"/>
  <c r="D111" i="8"/>
  <c r="D56" i="8" l="1"/>
  <c r="D97" i="8"/>
  <c r="D78" i="8"/>
  <c r="J79" i="8"/>
  <c r="H79" i="8" s="1"/>
  <c r="J78" i="8"/>
  <c r="H78" i="8" s="1"/>
  <c r="J98" i="8"/>
  <c r="H98" i="8" s="1"/>
  <c r="J97" i="8"/>
  <c r="H97" i="8" s="1"/>
  <c r="J206" i="8"/>
  <c r="H206" i="8" s="1"/>
  <c r="J207" i="8"/>
  <c r="H207" i="8" s="1"/>
  <c r="J208" i="8"/>
  <c r="H208" i="8" s="1"/>
  <c r="J56" i="8"/>
  <c r="H56" i="8" s="1"/>
  <c r="J36" i="7" l="1"/>
  <c r="H36" i="7" s="1"/>
  <c r="G36" i="7"/>
  <c r="J89" i="7"/>
  <c r="H89" i="7"/>
  <c r="G89" i="7"/>
  <c r="E64" i="7"/>
  <c r="E12" i="7"/>
  <c r="E10" i="7"/>
  <c r="G182" i="8" l="1"/>
  <c r="E182" i="8" s="1"/>
  <c r="G56" i="7" l="1"/>
  <c r="E56" i="7" s="1"/>
  <c r="D222" i="8" l="1"/>
  <c r="D99" i="8"/>
  <c r="D76" i="8"/>
  <c r="D52" i="8"/>
  <c r="D125" i="8" l="1"/>
  <c r="D58" i="7"/>
  <c r="D22" i="7"/>
  <c r="J53" i="8" l="1"/>
  <c r="J52" i="8"/>
  <c r="J23" i="7"/>
  <c r="H23" i="7" s="1"/>
  <c r="J22" i="7"/>
  <c r="H22" i="7" s="1"/>
  <c r="J99" i="8"/>
  <c r="H99" i="8" s="1"/>
  <c r="J76" i="8"/>
  <c r="H76" i="8" s="1"/>
  <c r="J127" i="8"/>
  <c r="H127" i="8" s="1"/>
  <c r="J164" i="8"/>
  <c r="H164" i="8" s="1"/>
  <c r="J163" i="8"/>
  <c r="H163" i="8" s="1"/>
  <c r="J200" i="8"/>
  <c r="H200" i="8" s="1"/>
  <c r="H52" i="8" l="1"/>
  <c r="G194" i="8"/>
  <c r="E194" i="8" s="1"/>
  <c r="J194" i="8"/>
  <c r="H194" i="8" s="1"/>
  <c r="G159" i="8" l="1"/>
  <c r="E159" i="8" s="1"/>
  <c r="G158" i="8"/>
  <c r="E158" i="8" s="1"/>
  <c r="H229" i="8" l="1"/>
  <c r="E229" i="8"/>
  <c r="H228" i="8"/>
  <c r="E228" i="8"/>
  <c r="G223" i="8"/>
  <c r="E223" i="8" s="1"/>
  <c r="G222" i="8"/>
  <c r="E222" i="8"/>
  <c r="J198" i="8" l="1"/>
  <c r="H198" i="8" s="1"/>
  <c r="J126" i="8" l="1"/>
  <c r="H126" i="8" s="1"/>
  <c r="J157" i="8"/>
  <c r="H157" i="8" s="1"/>
  <c r="J156" i="8"/>
  <c r="H156" i="8" s="1"/>
  <c r="G157" i="8"/>
  <c r="E157" i="8" s="1"/>
  <c r="G156" i="8"/>
  <c r="E156" i="8" s="1"/>
  <c r="J192" i="8"/>
  <c r="H192" i="8" s="1"/>
  <c r="E192" i="8"/>
  <c r="G111" i="8"/>
  <c r="E111" i="8" s="1"/>
  <c r="E93" i="8"/>
  <c r="E72" i="8"/>
  <c r="J199" i="8" l="1"/>
  <c r="H199" i="8" s="1"/>
  <c r="J15" i="8" l="1"/>
  <c r="H15" i="8" s="1"/>
  <c r="J162" i="8"/>
  <c r="H162" i="8" s="1"/>
  <c r="J161" i="8"/>
  <c r="H161" i="8" s="1"/>
  <c r="J160" i="8"/>
  <c r="H160" i="8" s="1"/>
  <c r="J159" i="8"/>
  <c r="H159" i="8" s="1"/>
  <c r="J158" i="8"/>
  <c r="H158" i="8" s="1"/>
  <c r="G193" i="8"/>
  <c r="E193" i="8" s="1"/>
  <c r="J193" i="8"/>
  <c r="H193" i="8" s="1"/>
  <c r="G155" i="8" l="1"/>
  <c r="E155" i="8" s="1"/>
  <c r="G187" i="8"/>
  <c r="E187" i="8" s="1"/>
  <c r="G128" i="8"/>
  <c r="E128" i="8" s="1"/>
  <c r="G127" i="8" l="1"/>
  <c r="E127" i="8" s="1"/>
  <c r="G126" i="8"/>
  <c r="E126" i="8" s="1"/>
  <c r="G125" i="8"/>
  <c r="E125" i="8" s="1"/>
  <c r="G53" i="7"/>
  <c r="E53" i="7" s="1"/>
  <c r="G52" i="7"/>
  <c r="E52" i="7" l="1"/>
  <c r="H219" i="8"/>
  <c r="H218" i="8"/>
  <c r="E219" i="8"/>
  <c r="E218" i="8"/>
  <c r="H217" i="8"/>
  <c r="E217" i="8"/>
  <c r="E208" i="8"/>
  <c r="E207" i="8"/>
  <c r="G206" i="8"/>
  <c r="E206" i="8" s="1"/>
  <c r="H147" i="8"/>
  <c r="H146" i="8"/>
  <c r="H145" i="8"/>
  <c r="E147" i="8"/>
  <c r="E146" i="8"/>
  <c r="E145" i="8"/>
  <c r="E136" i="8" l="1"/>
  <c r="H136" i="8"/>
  <c r="G135" i="8"/>
  <c r="E135" i="8" s="1"/>
  <c r="H135" i="8"/>
  <c r="E134" i="8"/>
  <c r="J134" i="8"/>
  <c r="H134" i="8" s="1"/>
  <c r="H121" i="8"/>
  <c r="E121" i="8"/>
  <c r="H120" i="8"/>
  <c r="E120" i="8"/>
  <c r="H119" i="8"/>
  <c r="E119" i="8"/>
  <c r="H107" i="8"/>
  <c r="E107" i="8"/>
  <c r="J108" i="8"/>
  <c r="H108" i="8" s="1"/>
  <c r="G108" i="8"/>
  <c r="E108" i="8" s="1"/>
  <c r="H106" i="8"/>
  <c r="G106" i="8"/>
  <c r="E106" i="8" s="1"/>
  <c r="H86" i="8"/>
  <c r="H85" i="8"/>
  <c r="E87" i="8"/>
  <c r="E86" i="8"/>
  <c r="J87" i="8"/>
  <c r="H87" i="8" s="1"/>
  <c r="G85" i="8"/>
  <c r="E64" i="8"/>
  <c r="J64" i="8"/>
  <c r="H64" i="8" s="1"/>
  <c r="H44" i="8"/>
  <c r="E44" i="8"/>
  <c r="E36" i="8"/>
  <c r="E25" i="8"/>
  <c r="H25" i="8"/>
  <c r="E85" i="8" l="1"/>
  <c r="H62" i="8"/>
  <c r="H63" i="8"/>
  <c r="E63" i="8"/>
  <c r="E62" i="8"/>
  <c r="H43" i="8"/>
  <c r="E43" i="8"/>
  <c r="H42" i="8"/>
  <c r="E42" i="8"/>
  <c r="H35" i="8"/>
  <c r="H34" i="8"/>
  <c r="E35" i="8"/>
  <c r="E34" i="8"/>
  <c r="H24" i="8"/>
  <c r="H23" i="8"/>
  <c r="E24" i="8"/>
  <c r="E23" i="8"/>
  <c r="E14" i="8"/>
  <c r="G84" i="7" l="1"/>
  <c r="E51" i="7"/>
  <c r="G60" i="7"/>
  <c r="E60" i="7" s="1"/>
  <c r="E84" i="7" l="1"/>
  <c r="G59" i="7"/>
  <c r="E59" i="7" s="1"/>
  <c r="G58" i="7"/>
  <c r="E58" i="7" l="1"/>
  <c r="J18" i="7"/>
  <c r="H18" i="7" s="1"/>
  <c r="J55" i="7" l="1"/>
  <c r="H55" i="7" s="1"/>
  <c r="G154" i="8" l="1"/>
  <c r="D83" i="7"/>
  <c r="D57" i="7"/>
  <c r="D16" i="7"/>
  <c r="E154" i="8" l="1"/>
  <c r="G181" i="8"/>
  <c r="E181" i="8" s="1"/>
  <c r="J70" i="7"/>
  <c r="H70" i="7"/>
  <c r="J83" i="7"/>
  <c r="H83" i="7" s="1"/>
  <c r="G82" i="7" l="1"/>
  <c r="E82" i="7" s="1"/>
  <c r="J205" i="8" l="1"/>
  <c r="G205" i="8"/>
  <c r="H216" i="8" l="1"/>
  <c r="E216" i="8"/>
  <c r="H215" i="8"/>
  <c r="E215" i="8"/>
  <c r="H214" i="8"/>
  <c r="E214" i="8"/>
  <c r="H205" i="8"/>
  <c r="E205" i="8"/>
  <c r="H204" i="8"/>
  <c r="E204" i="8"/>
  <c r="H203" i="8"/>
  <c r="E203" i="8"/>
  <c r="H144" i="8"/>
  <c r="E144" i="8"/>
  <c r="H143" i="8"/>
  <c r="E143" i="8"/>
  <c r="H142" i="8"/>
  <c r="E142" i="8"/>
  <c r="H133" i="8"/>
  <c r="E133" i="8"/>
  <c r="H132" i="8"/>
  <c r="E132" i="8"/>
  <c r="H131" i="8"/>
  <c r="E131" i="8"/>
  <c r="H118" i="8"/>
  <c r="E118" i="8"/>
  <c r="H117" i="8"/>
  <c r="E117" i="8"/>
  <c r="H116" i="8"/>
  <c r="E116" i="8"/>
  <c r="H96" i="8"/>
  <c r="E96" i="8"/>
  <c r="E95" i="8"/>
  <c r="H94" i="8"/>
  <c r="E94" i="8"/>
  <c r="H75" i="8"/>
  <c r="E75" i="8"/>
  <c r="E74" i="8"/>
  <c r="H73" i="8"/>
  <c r="E73" i="8"/>
  <c r="H51" i="8"/>
  <c r="E51" i="8"/>
  <c r="H50" i="8"/>
  <c r="E50" i="8"/>
  <c r="H49" i="8"/>
  <c r="E49" i="8"/>
  <c r="H41" i="8"/>
  <c r="E41" i="8"/>
  <c r="H40" i="8"/>
  <c r="E40" i="8"/>
  <c r="H39" i="8"/>
  <c r="E39" i="8"/>
  <c r="H33" i="8"/>
  <c r="E33" i="8"/>
  <c r="H32" i="8"/>
  <c r="E32" i="8"/>
  <c r="H31" i="8"/>
  <c r="E31" i="8"/>
  <c r="H22" i="8"/>
  <c r="E22" i="8"/>
  <c r="H21" i="8"/>
  <c r="E21" i="8"/>
  <c r="H20" i="8"/>
  <c r="E20" i="8"/>
  <c r="H13" i="8"/>
  <c r="H12" i="8"/>
  <c r="H11" i="8"/>
  <c r="E13" i="8"/>
  <c r="E12" i="8"/>
  <c r="E11" i="8"/>
  <c r="J39" i="7" l="1"/>
  <c r="H39" i="7" s="1"/>
  <c r="J155" i="8"/>
  <c r="H155" i="8" s="1"/>
  <c r="J154" i="8"/>
  <c r="H154" i="8" l="1"/>
  <c r="G66" i="7"/>
  <c r="G57" i="7"/>
  <c r="E57" i="7" s="1"/>
  <c r="G83" i="7"/>
  <c r="E83" i="7" s="1"/>
  <c r="E66" i="7" l="1"/>
  <c r="J93" i="8"/>
  <c r="J72" i="8"/>
  <c r="H93" i="8" l="1"/>
  <c r="J95" i="8"/>
  <c r="H95" i="8" s="1"/>
  <c r="H72" i="8"/>
  <c r="J74" i="8"/>
  <c r="H74" i="8" l="1"/>
  <c r="G50" i="7"/>
  <c r="E17" i="7"/>
  <c r="G16" i="7"/>
  <c r="E50" i="7" l="1"/>
  <c r="E16" i="7"/>
  <c r="E49" i="7" l="1"/>
  <c r="E48" i="7"/>
  <c r="D80" i="7" l="1"/>
  <c r="D79" i="7"/>
  <c r="D77" i="7"/>
  <c r="D65" i="7"/>
  <c r="D15" i="7"/>
  <c r="D11" i="7"/>
  <c r="D9" i="7"/>
  <c r="G65" i="7" l="1"/>
  <c r="E65" i="7" s="1"/>
  <c r="J34" i="7"/>
  <c r="G63" i="7"/>
  <c r="E63" i="7" s="1"/>
  <c r="H86" i="7"/>
  <c r="E86" i="7"/>
  <c r="D61" i="7" l="1"/>
  <c r="G55" i="7" l="1"/>
  <c r="E55" i="7" s="1"/>
  <c r="G81" i="7" l="1"/>
  <c r="E81" i="7" s="1"/>
  <c r="G87" i="7"/>
  <c r="G30" i="7"/>
  <c r="G29" i="7"/>
  <c r="G28" i="7"/>
  <c r="E87" i="7" l="1"/>
  <c r="J15" i="7"/>
  <c r="H15" i="7" s="1"/>
  <c r="G61" i="7"/>
  <c r="E61" i="7" s="1"/>
  <c r="G11" i="7"/>
  <c r="E11" i="7" s="1"/>
  <c r="G9" i="7"/>
  <c r="G78" i="7"/>
  <c r="E78" i="7" s="1"/>
  <c r="G68" i="7"/>
  <c r="E68" i="7" s="1"/>
  <c r="G79" i="7"/>
  <c r="E79" i="7" s="1"/>
  <c r="E9" i="7" l="1"/>
  <c r="G80" i="7"/>
  <c r="E80" i="7" s="1"/>
  <c r="G32" i="7"/>
  <c r="E32" i="7" s="1"/>
  <c r="H213" i="8" l="1"/>
  <c r="E213" i="8"/>
  <c r="H141" i="8"/>
  <c r="E141" i="8"/>
  <c r="H130" i="8"/>
  <c r="E130" i="8"/>
  <c r="H115" i="8"/>
  <c r="E115" i="8"/>
  <c r="H153" i="8"/>
  <c r="E153" i="8"/>
  <c r="H92" i="8"/>
  <c r="E92" i="8"/>
  <c r="H71" i="8"/>
  <c r="E71" i="8"/>
  <c r="H48" i="8"/>
  <c r="E48" i="8"/>
  <c r="H38" i="8"/>
  <c r="E38" i="8"/>
  <c r="H30" i="8"/>
  <c r="E30" i="8"/>
  <c r="H19" i="8"/>
  <c r="E19" i="8"/>
  <c r="E9" i="8"/>
  <c r="E29" i="8"/>
  <c r="E37" i="8"/>
  <c r="E47" i="8"/>
  <c r="E18" i="8"/>
  <c r="E70" i="8"/>
  <c r="E91" i="8"/>
  <c r="E152" i="8"/>
  <c r="J91" i="8"/>
  <c r="G67" i="7"/>
  <c r="E67" i="7" s="1"/>
  <c r="J152" i="8" l="1"/>
  <c r="H152" i="8" s="1"/>
  <c r="H91" i="8"/>
  <c r="H70" i="8"/>
  <c r="J47" i="8"/>
  <c r="H47" i="8" s="1"/>
  <c r="J37" i="8"/>
  <c r="H37" i="8" s="1"/>
  <c r="J29" i="8"/>
  <c r="H29" i="8" s="1"/>
  <c r="J18" i="8"/>
  <c r="H18" i="8" s="1"/>
  <c r="J9" i="8"/>
  <c r="H9" i="8" l="1"/>
  <c r="J31" i="7"/>
  <c r="H31" i="7" s="1"/>
  <c r="J14" i="7"/>
  <c r="J81" i="7"/>
  <c r="J77" i="7"/>
  <c r="J85" i="7"/>
  <c r="H85" i="7" s="1"/>
  <c r="J79" i="7"/>
  <c r="H79" i="7" s="1"/>
  <c r="G14" i="7"/>
  <c r="E14" i="7" s="1"/>
  <c r="E77" i="7"/>
  <c r="G76" i="7"/>
  <c r="E76" i="7" s="1"/>
  <c r="G47" i="7"/>
  <c r="E47" i="7" s="1"/>
  <c r="G46" i="7"/>
  <c r="E46" i="7" s="1"/>
  <c r="G45" i="7"/>
  <c r="E45" i="7" s="1"/>
  <c r="G44" i="7"/>
  <c r="E44" i="7" s="1"/>
  <c r="G43" i="7"/>
  <c r="E43" i="7" s="1"/>
  <c r="G42" i="7"/>
  <c r="E42" i="7" s="1"/>
  <c r="G41" i="7"/>
  <c r="E41" i="7" s="1"/>
  <c r="H81" i="7" l="1"/>
  <c r="H14" i="7"/>
  <c r="J35" i="7"/>
  <c r="H77" i="7"/>
  <c r="J88" i="7"/>
  <c r="H69" i="8"/>
  <c r="G27" i="7" l="1"/>
  <c r="G75" i="7"/>
  <c r="G73" i="7"/>
  <c r="G74" i="7"/>
  <c r="G13" i="7"/>
  <c r="G40" i="7"/>
  <c r="E40" i="7" s="1"/>
  <c r="G39" i="7"/>
  <c r="G25" i="7"/>
  <c r="G72" i="7"/>
  <c r="G71" i="7"/>
  <c r="E71" i="7" s="1"/>
  <c r="G70" i="7"/>
  <c r="G31" i="7"/>
  <c r="E31" i="7" s="1"/>
  <c r="G54" i="7"/>
  <c r="G88" i="7" l="1"/>
  <c r="G35" i="7"/>
  <c r="E13" i="7"/>
  <c r="H151" i="8"/>
  <c r="E151" i="8"/>
  <c r="H90" i="8"/>
  <c r="E90" i="8"/>
  <c r="E69" i="8"/>
  <c r="H10" i="8"/>
  <c r="H67" i="8" s="1"/>
  <c r="E10" i="8"/>
  <c r="E67" i="8" s="1"/>
  <c r="E233" i="8" l="1"/>
  <c r="E234" i="8" s="1"/>
  <c r="H233" i="8"/>
  <c r="H234" i="8" s="1"/>
  <c r="D31" i="7"/>
  <c r="E30" i="7" l="1"/>
  <c r="H34" i="7" l="1"/>
  <c r="E89" i="7" l="1"/>
  <c r="E29" i="7" l="1"/>
  <c r="E28" i="7"/>
  <c r="D70" i="7" l="1"/>
  <c r="D54" i="7"/>
  <c r="D27" i="7"/>
  <c r="E27" i="7" l="1"/>
  <c r="E36" i="7" l="1"/>
  <c r="E54" i="7" l="1"/>
  <c r="H35" i="7"/>
  <c r="E25" i="7"/>
  <c r="E35" i="7" s="1"/>
  <c r="D25" i="7"/>
  <c r="E75" i="7" l="1"/>
  <c r="E74" i="7"/>
  <c r="E73" i="7"/>
  <c r="E72" i="7" l="1"/>
  <c r="E70" i="7" l="1"/>
  <c r="E39" i="7"/>
  <c r="E88" i="7" l="1"/>
  <c r="G90" i="7"/>
  <c r="J90" i="7"/>
  <c r="J37" i="7"/>
  <c r="H88" i="7"/>
  <c r="E90" i="7" l="1"/>
  <c r="H37" i="7"/>
  <c r="E37" i="7"/>
  <c r="G37" i="7"/>
  <c r="J91" i="7"/>
  <c r="G91" i="7" l="1"/>
  <c r="E91" i="7"/>
  <c r="H90" i="7" l="1"/>
  <c r="H91" i="7" l="1"/>
</calcChain>
</file>

<file path=xl/sharedStrings.xml><?xml version="1.0" encoding="utf-8"?>
<sst xmlns="http://schemas.openxmlformats.org/spreadsheetml/2006/main" count="621" uniqueCount="390">
  <si>
    <t>ОТЧЕТ</t>
  </si>
  <si>
    <t>Наименование целевого показателя и мероприятий</t>
  </si>
  <si>
    <t>Подрядчик</t>
  </si>
  <si>
    <t>Стоимость мероприятий по договору, тыс. руб., (с НДС)</t>
  </si>
  <si>
    <t>Фактическое финансирование тыс. руб., (с НДС)</t>
  </si>
  <si>
    <t>Платежное поручение</t>
  </si>
  <si>
    <t>Фактическое выполнение, тыс. руб., (с НДС)</t>
  </si>
  <si>
    <t>Обоснование</t>
  </si>
  <si>
    <t>Наименование</t>
  </si>
  <si>
    <t>№ и дата договора</t>
  </si>
  <si>
    <t>№, дата</t>
  </si>
  <si>
    <t>сумма, тыс. руб.</t>
  </si>
  <si>
    <t>ВОДОСНАБЖЕНИЕ</t>
  </si>
  <si>
    <t>__</t>
  </si>
  <si>
    <t>Всего по ВОДОСНАБЖЕНИЮ</t>
  </si>
  <si>
    <t>Расходы заказчика-застройщика по водоснабжению</t>
  </si>
  <si>
    <t>ИТОГО по ВОДОСНАБЖЕНИЮ, в т.ч. Расходы заказчика-застройщика</t>
  </si>
  <si>
    <t>ВОДООТВЕДЕНИЕ</t>
  </si>
  <si>
    <t>АО "МАЙ ПРОЕКТ"</t>
  </si>
  <si>
    <t>ИТОГО по ВОДООТВЕДЕНИЮ</t>
  </si>
  <si>
    <t>Расходы заказчика-застройщика по водоотведению</t>
  </si>
  <si>
    <t>ИТОГО по ВОДООТВЕДЕНИЮ, в т.ч. Расходы заказчика-застройщика</t>
  </si>
  <si>
    <t>ВСЕГО по ВОДОСНАБЖЕНИЮ и ВОДООТВЕДЕНИЮ, в т.ч. Расходы заказчика-застройщика</t>
  </si>
  <si>
    <t>Справочно</t>
  </si>
  <si>
    <t>Показатель</t>
  </si>
  <si>
    <t>Начисление</t>
  </si>
  <si>
    <t>Финансирование</t>
  </si>
  <si>
    <t>Привлечение кредитов</t>
  </si>
  <si>
    <t>Расходы на обслуживание кредитов с НДС, в т.ч.</t>
  </si>
  <si>
    <t xml:space="preserve">- банковская гарантия </t>
  </si>
  <si>
    <t>- расходы на %% по кредитам</t>
  </si>
  <si>
    <t>НДС итого (обязательство по уплате в бюджет (+) / к возмещению из бюджета (-)), в т. ч.</t>
  </si>
  <si>
    <t>Возмещение НДС с расходов по инвестиционным мероприятиям</t>
  </si>
  <si>
    <t>НДС к уплате (расчетный)</t>
  </si>
  <si>
    <t xml:space="preserve">Финансовый директор </t>
  </si>
  <si>
    <t>Е.С. Александрова</t>
  </si>
  <si>
    <t>ИП Строительство цеха механического обезвоживания осадка (ЦМО) на ПОС ПИР.СМР.</t>
  </si>
  <si>
    <t>ООО УК "РОСВОДОКАНАЛ"</t>
  </si>
  <si>
    <t xml:space="preserve">Реконструкция канализационного дюкера по ул.Серова </t>
  </si>
  <si>
    <t>№ 138/14 от 12.03.2014</t>
  </si>
  <si>
    <t>ООО "Стройинжиниринг"</t>
  </si>
  <si>
    <t>№509/18 от 20.06.2018</t>
  </si>
  <si>
    <t xml:space="preserve">Создание автоматической системы управления технологического процесса работы системы подачи и распределения воды (АСУ ТП ПРВ) </t>
  </si>
  <si>
    <t>Ф-00977 от 23.05.2018</t>
  </si>
  <si>
    <t>АО "Системы управления"</t>
  </si>
  <si>
    <t>№528/18  от 29.06.2018</t>
  </si>
  <si>
    <t>АЛЬФА-БАНК (Договор факторинга по дог.840/17 от 15.12.2017 с ООО "Магистраль Телеком")</t>
  </si>
  <si>
    <t>С.В. Туршатова</t>
  </si>
  <si>
    <t xml:space="preserve">№615/18 от 01.08.2018 </t>
  </si>
  <si>
    <t>ООО НПП "КОМПЬЮТЕРНЫЕ ТЕХНОЛОГИИ"</t>
  </si>
  <si>
    <t>ОАО "Газпром газораспределение Воронеж"</t>
  </si>
  <si>
    <t>№62/17 от 07.02.2017</t>
  </si>
  <si>
    <t xml:space="preserve">Строительство ВПС-21. (Переоценка запасов подземных вод, ПИР.) </t>
  </si>
  <si>
    <t>ООО "Инженерная геодезия и топография"</t>
  </si>
  <si>
    <t>ПАО  "Ростелеком"</t>
  </si>
  <si>
    <t>972/18 от 24.12.2018</t>
  </si>
  <si>
    <t>ООО "ПК "АЗИМУТ"</t>
  </si>
  <si>
    <t>№1060/18 от 28.12.2018</t>
  </si>
  <si>
    <t>№839/18 от 13.11.2018</t>
  </si>
  <si>
    <t>Выполнение / Финансирование мероприятий ИП, с НДС</t>
  </si>
  <si>
    <t>Погашение кредитов</t>
  </si>
  <si>
    <t xml:space="preserve">Субсидии на возмещение затрат на уплату процентов по кредитам </t>
  </si>
  <si>
    <t>- надзорная организация</t>
  </si>
  <si>
    <t>- оценка стоимости доли Водоканала для оформления залога ВЭБ</t>
  </si>
  <si>
    <t>- расходы по нотариальному оформлению и регистрации сделки</t>
  </si>
  <si>
    <t>- прочее</t>
  </si>
  <si>
    <t>Выручка по ВиВ в части инвест составляющей с НДС /</t>
  </si>
  <si>
    <t>Поступление выручки по ВиВ в части инвест составляющей с НДС за вычетом резерва по дебиторской задолженности</t>
  </si>
  <si>
    <t>Налог на прибыль</t>
  </si>
  <si>
    <t>о ходе исполнения инвестиционной программы «Реконструкция (модернизация) систем водоснабжения и водоотведения на территории  городского округа город Воронеж на 2012 – 2018 годы (в рамках реализации Концессионного соглашения от 23.03.2012 г)» ООО "РВК-Воронеж"</t>
  </si>
  <si>
    <t>№1 от 10.01.2019</t>
  </si>
  <si>
    <t>№176 от 16.01.2019</t>
  </si>
  <si>
    <t>№177 от 16.01.2019</t>
  </si>
  <si>
    <t>№178 от 16.01.2019</t>
  </si>
  <si>
    <t>№179 от 16.01.2019</t>
  </si>
  <si>
    <t xml:space="preserve">№633 от 23.01.2019 </t>
  </si>
  <si>
    <t xml:space="preserve">№692 от 24.01.2019 </t>
  </si>
  <si>
    <t>№763 от 28.01.2019</t>
  </si>
  <si>
    <t>№764 от 28.01.2019</t>
  </si>
  <si>
    <t>№767 от 28.01.2019</t>
  </si>
  <si>
    <t>№768 от 28.01.2019</t>
  </si>
  <si>
    <t>№781 от 28.01.2019</t>
  </si>
  <si>
    <t>№853 от 30.01.2019</t>
  </si>
  <si>
    <t>ВСЕГО по ВОДОСНАБЖЕНИЮ и ВОДООТВЕДЕНИЮ</t>
  </si>
  <si>
    <t>ПИР и СМР. Реконструкция Главного Левобережного коллектора от КК-1 до К-11 Д=2000 мм протяженностью L=1300 м (инв.№ 30014578)</t>
  </si>
  <si>
    <t>Заработная плата (январь)</t>
  </si>
  <si>
    <t xml:space="preserve">ПИР.СМР.Реконструкция первичного отстойника №  5 (система водосливов) </t>
  </si>
  <si>
    <t>ПИР.СМР.Реконструкция вторичного отстойника №  3 (система илоскребов)</t>
  </si>
  <si>
    <t>№1471 от 08.02.2019</t>
  </si>
  <si>
    <t>№1553 от 15.02.2019</t>
  </si>
  <si>
    <t xml:space="preserve">№1554 от 15.02.2019 </t>
  </si>
  <si>
    <t>№1555 от 15.02.2019</t>
  </si>
  <si>
    <t>№1559 от 15.02.2019</t>
  </si>
  <si>
    <t>№1560 от 15.02.2019</t>
  </si>
  <si>
    <t>№1595 от 15.02.2019</t>
  </si>
  <si>
    <t>№1514 от 13.02.2019</t>
  </si>
  <si>
    <t xml:space="preserve"> ООО "ГАРАНТ"</t>
  </si>
  <si>
    <t>№50/19 от 08.02.2019</t>
  </si>
  <si>
    <t>№2131 от 28.02.2019</t>
  </si>
  <si>
    <t xml:space="preserve"> ООО ГЕОМИР</t>
  </si>
  <si>
    <t>№74/19 от 18.02.2019</t>
  </si>
  <si>
    <t>№2126 от 28.02.2019</t>
  </si>
  <si>
    <t>ООО ПКФ "Электрощит"</t>
  </si>
  <si>
    <t>№20/19 от 18.01.2019</t>
  </si>
  <si>
    <t>Давальческий материал (февраль)</t>
  </si>
  <si>
    <t xml:space="preserve"> ПИР, СМР. Реконструкция очистных сооружений с деманганацией подземных вод на ВПС-12 </t>
  </si>
  <si>
    <t>ПИР, СМР. Реконструкция очистных сооружений с деманганацией подземных вод на ВПС-8</t>
  </si>
  <si>
    <t>ООО БМА Руссланд</t>
  </si>
  <si>
    <t xml:space="preserve">№871/17 от 22.12.2017 </t>
  </si>
  <si>
    <t>№870/17 от 22.12.2017</t>
  </si>
  <si>
    <t>Выполнение комплекса работ для организации добычи подземных вод на ВЗУ-I Южно-Воронежского месторождения подземных вод (ВПС-21) в составе: проект разработки месторождения, включая программу мониторинга подземных вод и проект ЗСО.</t>
  </si>
  <si>
    <t>ПИР и СМР. Реконструкция водовода д=500 мм по ул. Красный октябрь  L=300 п.м</t>
  </si>
  <si>
    <t>ПИР и СМР. Реконструкция участка сборного водовода Д=1000мм. на ВПС-8 от скв.№№1;1а в сторону камеры переключений L-80п.м. с заменой секционной запорной арматуры: Д=800мм.-2ед.; Д=600мм.-1ед.</t>
  </si>
  <si>
    <t xml:space="preserve">ПИР, СМР. Строительство водопровода по переключению на централизованную систему водоснабжения потребителей, получающих холодное водоснабжение от локальных источников водоснабжения, принадлежащих АО «РЖД» (п. Первомайский, п. Придонской) </t>
  </si>
  <si>
    <t xml:space="preserve"> Создание систем охраны периметра  ВПС-3а, ВПС-4, ВПС-6, ВПС-9.</t>
  </si>
  <si>
    <t>Заработная плата (февраль)</t>
  </si>
  <si>
    <t xml:space="preserve"> ПИР, СМР. Строительство канализационных сетей и сооружений в микрорайоне Никольское </t>
  </si>
  <si>
    <t>ООО ОЙЛ-ПРОДУКТ</t>
  </si>
  <si>
    <t>договор уступки прав требования 3 по дог.строит.подряда №774 ООО ТСК</t>
  </si>
  <si>
    <t xml:space="preserve">Корректировка долга 1343, 1344 от 28.02.2019, </t>
  </si>
  <si>
    <t xml:space="preserve">Строительство Сочинского коллектора  </t>
  </si>
  <si>
    <t>Заработная плата (март)</t>
  </si>
  <si>
    <t>ПИР, СМР. Реконструкция системы водоотведения мкр. Тепличный со строительством КНС:Строительство 2-х напорных ниток к/сетей L=60 п.м.Строительство самотечной линии Д=500 м.м. L=25 п.м.Строительство КНС мощностью 3000 м3/сутки</t>
  </si>
  <si>
    <t>ПИР и СМР Реконструкция канализационных сетей жилой зоны городского микрорайона Никольское.</t>
  </si>
  <si>
    <t xml:space="preserve"> ПИР и СМР Реконструкция канализационных сетей жилой зоны ул. Чебышева с переключением многоквартирных домов на вновь построенный канализационный коллектор по ул. Дубровина.</t>
  </si>
  <si>
    <t xml:space="preserve">ПИР и СМР Реконструкция канализационной линии по Ленинскому проспекту 8/1, Д= 300 мм протяженностью L=190 м </t>
  </si>
  <si>
    <t>№2154 от 04.03.2019</t>
  </si>
  <si>
    <t>№10/19 от 15.01.2019</t>
  </si>
  <si>
    <t>ООО "ЭКС-Воронеж"</t>
  </si>
  <si>
    <t>№2176 от 06.03.2019</t>
  </si>
  <si>
    <t>№2177 от 06.03.2019</t>
  </si>
  <si>
    <t>ПЕРЕЛЕШИНСКИЙ-МЗ ООО</t>
  </si>
  <si>
    <t>Мировое соглашение РВК-ОЙЛ-Продукт по делу №А14-90001/2018</t>
  </si>
  <si>
    <t>№2182 от 07.03.2019</t>
  </si>
  <si>
    <t>№2217 от 07.03.2019</t>
  </si>
  <si>
    <t>№2875 от 15.03.2019</t>
  </si>
  <si>
    <t>№2969 от 20.03.2019</t>
  </si>
  <si>
    <t>№187/16 от 06.05.2016</t>
  </si>
  <si>
    <t xml:space="preserve"> №7/14 от 09.01.2014</t>
  </si>
  <si>
    <t>ООО "Эн Эйч Инжиниринг"</t>
  </si>
  <si>
    <t>Реконструкция к.линии по ул. Землячки</t>
  </si>
  <si>
    <t>ПИР, СМР. Реконструкция аэротенков с внедрением современных технологий нитри-денитрификации</t>
  </si>
  <si>
    <t>Акт №5 от 21.02.2019</t>
  </si>
  <si>
    <t>Акт №841901 от 18.02.2019</t>
  </si>
  <si>
    <t>КС-2 №1, КС-3 №2 от 08.02.2019</t>
  </si>
  <si>
    <t>ТОРГ-12 №82 от 04.02.2019</t>
  </si>
  <si>
    <t>Акт №63 от 28.02.2019</t>
  </si>
  <si>
    <t>№2874 от 15.03.2019</t>
  </si>
  <si>
    <t>ООО "ТЕХНОЛОГИИ 21 ВЕК"</t>
  </si>
  <si>
    <t>540/16 от 03.11.2016</t>
  </si>
  <si>
    <t>Корректировка долга №1277 от 28.02.2019</t>
  </si>
  <si>
    <t>ООО Бурспецмонтаж</t>
  </si>
  <si>
    <t>№778/17 от 28.11.2017</t>
  </si>
  <si>
    <t>Акт №1, КС-3 №1 от 29.03.2019</t>
  </si>
  <si>
    <t>о ходе исполнения инвестиционной программы "Реконструкция (модернизация) систем водоснабжения и водоотведения на территории  городского округа город Воронеж на 2019-2024 годы" ООО "РВК-Воронеж"</t>
  </si>
  <si>
    <t>Структура финансовых потоков по инвестиционной программе  2019-2024 (ИП 2), тыс.руб.</t>
  </si>
  <si>
    <t>Поступление выручки по ВиВ в части инвест составляющей с НДС за вычетом резерва по дебиторской задолженности/ Собственные средства (амортизация)</t>
  </si>
  <si>
    <t>№3374 от 25.03.2019 (часть)</t>
  </si>
  <si>
    <t xml:space="preserve">Корректировка долга №560 от 31.01.2019
</t>
  </si>
  <si>
    <t>ООО "ЭНЕРГОСТРОЙ"</t>
  </si>
  <si>
    <t>546/16 от 08.11.2016</t>
  </si>
  <si>
    <t>Корректировка долга №3054 от 01.04.2019</t>
  </si>
  <si>
    <t>№5952 от 25.04.2019</t>
  </si>
  <si>
    <t>№6568 от 29.04.2019</t>
  </si>
  <si>
    <t>№6937 от 17.05.2019</t>
  </si>
  <si>
    <t>№7020 от 22.05.2019</t>
  </si>
  <si>
    <t>ООО СК Реал</t>
  </si>
  <si>
    <t>№220/19 от 11.04.2019</t>
  </si>
  <si>
    <t>№219/19 от 11.04.2019</t>
  </si>
  <si>
    <t>№907/18 от 05.12.2018</t>
  </si>
  <si>
    <t>№8359 от 03.06.2019</t>
  </si>
  <si>
    <t>№8547 от 14.06.2019</t>
  </si>
  <si>
    <t>№102/16 от 09.03.2016</t>
  </si>
  <si>
    <t>№9483 от 21.06.2019</t>
  </si>
  <si>
    <t>№8381 от 05.06.2019</t>
  </si>
  <si>
    <t>ООО "СтройПолимерМонтаж"</t>
  </si>
  <si>
    <t>Заработная плата (апрель)</t>
  </si>
  <si>
    <t>Заработная плата (май)</t>
  </si>
  <si>
    <t>Заработная плата (июнь)</t>
  </si>
  <si>
    <t>№130/19 от 07.03.2019</t>
  </si>
  <si>
    <t>Акт от 31.05.2019</t>
  </si>
  <si>
    <t>КС-2, КС-3 №1 от 29.06.2019</t>
  </si>
  <si>
    <t>КС-2, КС-3 №2 от 30.06.2019</t>
  </si>
  <si>
    <t>Акт №1 от 01.04.2019</t>
  </si>
  <si>
    <t>Акт №1 от 16.05.2019</t>
  </si>
  <si>
    <t>КС-2 №203, КС-3 №40 от 30.06.2019</t>
  </si>
  <si>
    <t>Д.ДВК.ВЖВК.ДКС-31052019-0003, доп. соглашение Д.ДВК.ВЖКВ.ДКС-31052019-0003ДС-0001 от 24.062019</t>
  </si>
  <si>
    <t>№11278 от 25.06.2019</t>
  </si>
  <si>
    <t>№5949 от 29.04.2019</t>
  </si>
  <si>
    <t>ООО "Проектинжиниринг"</t>
  </si>
  <si>
    <t xml:space="preserve">Д.ДВК.ВЖВК.ДКС.ОПР-08072019-0007 </t>
  </si>
  <si>
    <t>ГЕА Рефрижерейшн РУС</t>
  </si>
  <si>
    <t>№13274 от 17.07.2019</t>
  </si>
  <si>
    <t>№13325 от 17.07.2019</t>
  </si>
  <si>
    <t>№13419 от 22.07.2019</t>
  </si>
  <si>
    <t>№13418 от 22.07.2019</t>
  </si>
  <si>
    <t>Д.ДВК.ВЖВК.ДКС-15052019-0003 от 15.05.2019</t>
  </si>
  <si>
    <t>№13238 от 15.07.2019</t>
  </si>
  <si>
    <t>Заработная плата (июль)</t>
  </si>
  <si>
    <t>Заработная плата (август)</t>
  </si>
  <si>
    <t>Заработная плата (сентябрь)</t>
  </si>
  <si>
    <t>Работы по отладке оборудования ОСК с целью повышения показателей энергоэффективности объектов централизованных систем  водоотведения.</t>
  </si>
  <si>
    <t>№14470 от 06.08.2019</t>
  </si>
  <si>
    <t>№19298 от 23.08.2019</t>
  </si>
  <si>
    <t>МКП "УПРАВЛЕНИЕ ГЛАВНОГО АРХИТЕКТОРА"</t>
  </si>
  <si>
    <t>№14414 от 02.08.2019</t>
  </si>
  <si>
    <t xml:space="preserve"> ООО ПРОЕКТИНЖИНИРИНГ</t>
  </si>
  <si>
    <t>№702/17 от 31/10/2017</t>
  </si>
  <si>
    <t>Д.ДВК.ВЖВК.ДКС.ОПР-18062019-0002 от 18.06.2019</t>
  </si>
  <si>
    <t>№14467 от 06.08.2019</t>
  </si>
  <si>
    <t>№14471 от 06.08.2019</t>
  </si>
  <si>
    <t>№19294 от 23.08.2019</t>
  </si>
  <si>
    <t xml:space="preserve"> ООО Лимкор</t>
  </si>
  <si>
    <t>Д.ДВК.ВЖВК.ОУСС-24052019-0001 от 24.05.2019</t>
  </si>
  <si>
    <t>№19300 от 23.08.2019</t>
  </si>
  <si>
    <t>№19304 от 23.08.2019</t>
  </si>
  <si>
    <t>№19321 от 23.08.2019</t>
  </si>
  <si>
    <t>Капитализация процентов август</t>
  </si>
  <si>
    <t>ООО ЭНЕРГОИМПУЛЬС</t>
  </si>
  <si>
    <t>Д.ДВК.ВЖВК.ДКС.ОПР-25062019-0003 от 25.06.2019</t>
  </si>
  <si>
    <t>Давальческий материал (август)</t>
  </si>
  <si>
    <t>№13299 от 17.07.2019</t>
  </si>
  <si>
    <t>№13300 от 17.07.2019</t>
  </si>
  <si>
    <t>№13339 от 19.07.2019</t>
  </si>
  <si>
    <t>№13340 от 19.07.2019</t>
  </si>
  <si>
    <t>№13425 от 22.07.2019</t>
  </si>
  <si>
    <t>№13431 от 22.07.2019</t>
  </si>
  <si>
    <t>Давальческий материал (июль)</t>
  </si>
  <si>
    <t>ОАО  "РЖД"</t>
  </si>
  <si>
    <t>Д.ДВК.ВЖВК.ДКС.ОПР-03092019-0001 от 03.09.2019</t>
  </si>
  <si>
    <t>№19544 от 06.09.2019</t>
  </si>
  <si>
    <t>№19546 от 06.09.2019</t>
  </si>
  <si>
    <t>№19834 от 17.09.2019</t>
  </si>
  <si>
    <t>№19836 от 17.09.2019</t>
  </si>
  <si>
    <t xml:space="preserve"> ООО РВК.ЭКОСЕРВИС</t>
  </si>
  <si>
    <t>Д.ДВК.ВЖВК.ДКС-02072019-0002</t>
  </si>
  <si>
    <t>№19835 от 17.09.2019</t>
  </si>
  <si>
    <t>Капитализация процентов июль</t>
  </si>
  <si>
    <t>Капитализация процентов сентябрь</t>
  </si>
  <si>
    <t>Давальческий материал (сентябрь)</t>
  </si>
  <si>
    <t xml:space="preserve"> ООО СТРОИТЕЛЬНЫЕ ТЕХНОЛОГИИ</t>
  </si>
  <si>
    <t>Д.ДВК.ВЖВК.ДКС-04092019-0002 04.09.2019</t>
  </si>
  <si>
    <t>ОАО "ВОРОНЕЖПРОЕКТ"</t>
  </si>
  <si>
    <t>№632/18 от 07.08.2018</t>
  </si>
  <si>
    <t>ООО "ТВ-Сервис"</t>
  </si>
  <si>
    <t xml:space="preserve"> Д.ДВК.ВЖВК.ДКС-05092019-0003 от 05.09.2019</t>
  </si>
  <si>
    <t>Акт №64 от 31.07.2019</t>
  </si>
  <si>
    <t>С/ф №89 от 17.07.2019</t>
  </si>
  <si>
    <t>КС-2, КС-3 №3 от 23.07.2019</t>
  </si>
  <si>
    <t>КС-2, КС-3 №4 от 31.07.2019</t>
  </si>
  <si>
    <t>КС-2, КС-3 №5 от 05.08.2019</t>
  </si>
  <si>
    <t>КС-2, КС-3 №6 от 05.08.2019</t>
  </si>
  <si>
    <t>КС-2, КС-3 №7 от 15.08.2019</t>
  </si>
  <si>
    <t>КС-2, КС-3 №8 от 23.08.2019</t>
  </si>
  <si>
    <t>КС-2, КС-3 №9 от 31.08.2019</t>
  </si>
  <si>
    <t>Акт №23 от 27.09.2019</t>
  </si>
  <si>
    <t>Акт №24 от 27.09.2019</t>
  </si>
  <si>
    <t>КС-2, КС-3 №1 от 30.09.2019</t>
  </si>
  <si>
    <t>КС-2, КС-3 №1 от 25.09.2019 (часть)</t>
  </si>
  <si>
    <t>Акт №79 от 16.09.2019</t>
  </si>
  <si>
    <t>КС-2, КС-3 №10 от 15.09.2019</t>
  </si>
  <si>
    <t>КС-2, КС-3 №11 от 25.09.2019</t>
  </si>
  <si>
    <t>№ 56/17 от 07.02.2017</t>
  </si>
  <si>
    <t>Акт приёма-передачи №1, акт №8 от 25.06.2019</t>
  </si>
  <si>
    <t>Корректировка</t>
  </si>
  <si>
    <t xml:space="preserve">ПИР, СМР. Реконструкция главного Левобережного коллектора Д-2000 мм </t>
  </si>
  <si>
    <t xml:space="preserve"> ООО СВЯЗЬИНФОРМ</t>
  </si>
  <si>
    <t xml:space="preserve">Д.ДВК.ВЖВК.ДКС-02072019-0002 </t>
  </si>
  <si>
    <t>Отгруз. разнарядка №1, счет-фактура №34 от 30.08.2019</t>
  </si>
  <si>
    <t>Отгруз. разнарядка №1, счет-фактура №33 от 30.08.2019</t>
  </si>
  <si>
    <t>Д.ДВК.ВЖВК.ДКС-05092019-0004 от 05.09.2019</t>
  </si>
  <si>
    <t>Акт №533 от 30.08.2019</t>
  </si>
  <si>
    <t>№19234 от 20.08.2019</t>
  </si>
  <si>
    <t>Д.ДВК.ВЖВК.ОКС-18072019-0004 от 18.07.2019</t>
  </si>
  <si>
    <t xml:space="preserve"> №20467 от 24.09.2019</t>
  </si>
  <si>
    <t>Акт №443 от 30.06.2019</t>
  </si>
  <si>
    <t>Структура финансовых потоков по инвестиционной программе 2012-2018  (ИП1), тыс.руб.</t>
  </si>
  <si>
    <t>Начальник ОПиРИП</t>
  </si>
  <si>
    <t>Акт №685 от 30.09.2019</t>
  </si>
  <si>
    <t>Бух. справка №725 от 30.09.2019</t>
  </si>
  <si>
    <t>12 месяцев  2019 г.</t>
  </si>
  <si>
    <t>2019 год 12 мес</t>
  </si>
  <si>
    <t>№22372 от 30.10.2019</t>
  </si>
  <si>
    <t xml:space="preserve">ПИР, СМР. Реконструкция канализационной линии по ул. Дубровина Д=250-450мм протяжённостью L=1700 п.м. (инв. №30014578 «Канализационные сети Левобережного района») </t>
  </si>
  <si>
    <t>№21095 от 14.10.2019</t>
  </si>
  <si>
    <t>Заработная плата (октябрь)</t>
  </si>
  <si>
    <t>Заработная плата (ноябрь)</t>
  </si>
  <si>
    <t>№21716 от 21.10.2019</t>
  </si>
  <si>
    <t>№21717 от 21.10.2019</t>
  </si>
  <si>
    <t>№20862 от 08.10.2019</t>
  </si>
  <si>
    <t>№20863 от 08.10.2019</t>
  </si>
  <si>
    <t>№20864 от 08.10.2019</t>
  </si>
  <si>
    <t>№20865 от 08.10.2019</t>
  </si>
  <si>
    <t>№21111 от 14.10.2019</t>
  </si>
  <si>
    <t>№21112 от 14.10.2019</t>
  </si>
  <si>
    <t>№21706 от 21.10.2019</t>
  </si>
  <si>
    <t>№21707 от 21.10.2019</t>
  </si>
  <si>
    <t>Капитализация процентов октябрь</t>
  </si>
  <si>
    <t xml:space="preserve"> ПАГК РУБИН - 7</t>
  </si>
  <si>
    <t>Д.ДВК.ВЖВК.ТД.ОГЭ-02102019-0001</t>
  </si>
  <si>
    <t>Давальческий материал (октябрь)</t>
  </si>
  <si>
    <t>№22861 от 11.11.2019</t>
  </si>
  <si>
    <t>№24314 от 25.11.2019</t>
  </si>
  <si>
    <t>ООО "Стройактив"</t>
  </si>
  <si>
    <t>Д.ДВК.ВЖВК.ДКС-05092019-0001 от 05.09.2019</t>
  </si>
  <si>
    <t>№22741 от 06.11.2019</t>
  </si>
  <si>
    <t>№22742 от 06.11.2019</t>
  </si>
  <si>
    <t>№24012 от 22.11.2019 (часть)</t>
  </si>
  <si>
    <t>№24317 от 25.11.2019 (часть)</t>
  </si>
  <si>
    <t>№22733 от 06.11.2019</t>
  </si>
  <si>
    <t xml:space="preserve"> ООО ИНСЕРВИС</t>
  </si>
  <si>
    <t>Д.ДВК.ВЖВК.ДКС.ОПР-02072019-0007</t>
  </si>
  <si>
    <t>№22731 от 06.11.2019</t>
  </si>
  <si>
    <t>№22732 от 06.11.2019</t>
  </si>
  <si>
    <t>№24313 от 25.11.2019</t>
  </si>
  <si>
    <t>№24315 от 25.11.2019</t>
  </si>
  <si>
    <t>Капитализация процентов ноябрь</t>
  </si>
  <si>
    <t xml:space="preserve"> ООО ЭНЕРГОИМПУЛЬС</t>
  </si>
  <si>
    <t xml:space="preserve">ООО ТЕХНОЛОГИИ 21 ВЕК </t>
  </si>
  <si>
    <t>№Д.ДВК.ВЖВК.ДКС.ОКС-12112019-0001 от 12.11.2019</t>
  </si>
  <si>
    <t>№24011 от 22.11.2019</t>
  </si>
  <si>
    <t xml:space="preserve"> ООО ТЕХНОЛОГИИ 21 ВЕК</t>
  </si>
  <si>
    <t>Д.ДВК.ВЖВК.ДКС-18112019-0001 от 18.11.2019</t>
  </si>
  <si>
    <t>№26280 от 24.12.2019</t>
  </si>
  <si>
    <t>Заработная плата (декабрь)</t>
  </si>
  <si>
    <t>Давальческий материал (декабрь)</t>
  </si>
  <si>
    <t>№24556 от 04.12.2019 (часть)</t>
  </si>
  <si>
    <t>№25575 от 20.12.2019 (часть)</t>
  </si>
  <si>
    <t>№26475 от 31.12.2019 (часть)</t>
  </si>
  <si>
    <t>№25401 от 18.12.2019</t>
  </si>
  <si>
    <t>№25402 от 18.12.2019</t>
  </si>
  <si>
    <t>№24561 от 04.12.2019</t>
  </si>
  <si>
    <t>№24562 от 04.12.2019</t>
  </si>
  <si>
    <t>№24563 от 04.12.2019</t>
  </si>
  <si>
    <t>№25386 от 18.12.2019</t>
  </si>
  <si>
    <t>№25387 от 18.12.2019</t>
  </si>
  <si>
    <t>№25388 от 18.12.2019</t>
  </si>
  <si>
    <t>№25399 от 18.12.2019</t>
  </si>
  <si>
    <t>№26435 от 30.12.2019</t>
  </si>
  <si>
    <t>№26452 от 30.12.2019</t>
  </si>
  <si>
    <t>№26453 от 30.12.2019</t>
  </si>
  <si>
    <t>№26454 от 30.12.2019</t>
  </si>
  <si>
    <t>№26466 от 30.12.2019</t>
  </si>
  <si>
    <t>Капитализация процентов декабрь</t>
  </si>
  <si>
    <t>№26279 от 24.12.2019</t>
  </si>
  <si>
    <t>Акт №89 от 01.10.2019</t>
  </si>
  <si>
    <t>КС-2, КС-3 №2 от 20.12.2019</t>
  </si>
  <si>
    <t>№25389 от 18.12.2019</t>
  </si>
  <si>
    <t>КС-2, КС-3 №1 от 11.09.2019</t>
  </si>
  <si>
    <t>Акт №134 от 27.12.2019</t>
  </si>
  <si>
    <t>КС-2, КС-3 №1 от 26.12.2019</t>
  </si>
  <si>
    <t>КС-2, КС-3 №1 от 30.12.2019</t>
  </si>
  <si>
    <t>КС-2, КС-3 №1 от 30.12.2019 (часть)</t>
  </si>
  <si>
    <t>Акт №1 от 27.12.2019</t>
  </si>
  <si>
    <t>КС-2, КС-3 №23 от 18.12.2019</t>
  </si>
  <si>
    <t>КС-2, КС-3 №24 от 23.12.2019</t>
  </si>
  <si>
    <t>КС-2, КС-3 №25 от 29.12.2019</t>
  </si>
  <si>
    <t>КС-2, КС-3 №26 от 30.12.2019</t>
  </si>
  <si>
    <t>КС-2, КС-3 №27 от 31.12.2019</t>
  </si>
  <si>
    <t>УПД №1 от 05.12.2019</t>
  </si>
  <si>
    <t>КС-2, КС-3 №2 от 30.12.2019</t>
  </si>
  <si>
    <t>Акт №164 от 30.11.2019</t>
  </si>
  <si>
    <t>Акт №36 от 29.11.2019</t>
  </si>
  <si>
    <t>КС-2, КС-3 №2 от 22.10.2019 (часть)</t>
  </si>
  <si>
    <t>Акт №121 от 29.11.2019</t>
  </si>
  <si>
    <t>КС-2, КС-3 №19 от 05.11.2019</t>
  </si>
  <si>
    <t>КС-2, КС-3 №20 от 15.11.2019</t>
  </si>
  <si>
    <t>КС-2, КС-3 №21 от 26.11.2019</t>
  </si>
  <si>
    <t>КС-2, КС-3 №22 от 30.11.2019</t>
  </si>
  <si>
    <t>Акт №10 от 25.06.2019</t>
  </si>
  <si>
    <t>Акт №140 от 25.10.2019</t>
  </si>
  <si>
    <t>КС-2, КС-3 №13 от 15.10.2019</t>
  </si>
  <si>
    <t>КС-2, КС-3 №14 от 15.10.2019</t>
  </si>
  <si>
    <t>КС-2, КС-3 №15 от 22.10.2019</t>
  </si>
  <si>
    <t>КС-2, КС-3 №16 от 23.10.2019</t>
  </si>
  <si>
    <t>КС-2, КС-3 №17 от 23.10.2019</t>
  </si>
  <si>
    <t>КС-2, КС-3 №12 от 09.10.2019</t>
  </si>
  <si>
    <t>КС-2, КС-3 №18 от 29.10.2019</t>
  </si>
  <si>
    <t>УПД №1 от 02.10.2019</t>
  </si>
  <si>
    <t>Д.ДВК.ВЖВК.ДКС-12112019-0002/ДС-0001 от 26.12.2019</t>
  </si>
  <si>
    <t>№20813 от 04.10.2019, №21651 от 18.10.2019</t>
  </si>
  <si>
    <t>132 489,43</t>
  </si>
  <si>
    <t>1 570,46</t>
  </si>
  <si>
    <t>№24510 от 29.11.2019</t>
  </si>
  <si>
    <t>№24496 от 29.11.2019</t>
  </si>
  <si>
    <t>Бух. справка №1080 от 28.10.2019</t>
  </si>
  <si>
    <t>Бух. справка №1084 от 28.10.2019</t>
  </si>
  <si>
    <t>ПИР, СМР. Реконструкция канализационного коллектора L=2452 м.п.  Д=800-1000мм на Д=1000мм по ул.Землячки 9-11, по ул.Витрука, вдоль Ленинского пр-та  до ул. 25 Января 72 (инв.№ 30012510)</t>
  </si>
  <si>
    <t>№26398 от 27.12.2019 (часть)</t>
  </si>
  <si>
    <t xml:space="preserve"> №26394 от 27.12.2019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</si>
</sst>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Arial Narrow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i/>
      <sz val="12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1F497D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  <font>
      <sz val="14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0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1" fillId="0" borderId="0"/>
    <xf numFmtId="0" fontId="19" fillId="0" borderId="0"/>
    <xf numFmtId="0" fontId="9" fillId="0" borderId="0"/>
    <xf numFmtId="0" fontId="22" fillId="0" borderId="0"/>
    <xf numFmtId="0" fontId="18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</cellStyleXfs>
  <cellXfs count="279">
    <xf numFmtId="0" fontId="0" fillId="0" borderId="0" xfId="0"/>
    <xf numFmtId="0" fontId="12" fillId="0" borderId="0" xfId="1" applyFont="1" applyFill="1"/>
    <xf numFmtId="0" fontId="10" fillId="0" borderId="0" xfId="1"/>
    <xf numFmtId="0" fontId="12" fillId="0" borderId="0" xfId="1" applyFont="1"/>
    <xf numFmtId="4" fontId="10" fillId="0" borderId="0" xfId="1" applyNumberFormat="1"/>
    <xf numFmtId="0" fontId="10" fillId="0" borderId="0" xfId="1" applyBorder="1"/>
    <xf numFmtId="0" fontId="6" fillId="0" borderId="0" xfId="1" applyFont="1"/>
    <xf numFmtId="0" fontId="12" fillId="3" borderId="0" xfId="1" applyFont="1" applyFill="1"/>
    <xf numFmtId="2" fontId="20" fillId="2" borderId="15" xfId="2" applyNumberFormat="1" applyFont="1" applyFill="1" applyBorder="1" applyAlignment="1">
      <alignment horizontal="center" vertical="center" wrapText="1"/>
    </xf>
    <xf numFmtId="0" fontId="10" fillId="4" borderId="0" xfId="1" applyFill="1"/>
    <xf numFmtId="0" fontId="10" fillId="0" borderId="30" xfId="1" applyBorder="1"/>
    <xf numFmtId="0" fontId="12" fillId="2" borderId="0" xfId="1" applyFont="1" applyFill="1"/>
    <xf numFmtId="164" fontId="20" fillId="2" borderId="13" xfId="2" applyNumberFormat="1" applyFont="1" applyFill="1" applyBorder="1" applyAlignment="1">
      <alignment horizontal="center" vertical="center" wrapText="1"/>
    </xf>
    <xf numFmtId="4" fontId="20" fillId="2" borderId="14" xfId="2" applyNumberFormat="1" applyFont="1" applyFill="1" applyBorder="1" applyAlignment="1">
      <alignment horizontal="center" vertical="center" wrapText="1"/>
    </xf>
    <xf numFmtId="4" fontId="12" fillId="2" borderId="0" xfId="1" applyNumberFormat="1" applyFont="1" applyFill="1"/>
    <xf numFmtId="0" fontId="20" fillId="2" borderId="15" xfId="1" applyFont="1" applyFill="1" applyBorder="1" applyAlignment="1">
      <alignment horizontal="center" vertical="center" wrapText="1"/>
    </xf>
    <xf numFmtId="0" fontId="21" fillId="2" borderId="11" xfId="2" applyFont="1" applyFill="1" applyBorder="1" applyAlignment="1">
      <alignment horizontal="center" vertical="center" wrapText="1"/>
    </xf>
    <xf numFmtId="0" fontId="21" fillId="2" borderId="22" xfId="2" applyFont="1" applyFill="1" applyBorder="1" applyAlignment="1">
      <alignment horizontal="center" vertical="center" wrapText="1"/>
    </xf>
    <xf numFmtId="0" fontId="21" fillId="2" borderId="0" xfId="2" applyFont="1" applyFill="1" applyBorder="1" applyAlignment="1">
      <alignment horizontal="center" vertical="center" wrapText="1"/>
    </xf>
    <xf numFmtId="0" fontId="12" fillId="2" borderId="0" xfId="2" applyFont="1" applyFill="1"/>
    <xf numFmtId="0" fontId="20" fillId="2" borderId="0" xfId="2" applyFont="1" applyFill="1" applyAlignment="1">
      <alignment horizontal="left"/>
    </xf>
    <xf numFmtId="0" fontId="13" fillId="2" borderId="0" xfId="1" applyFont="1" applyFill="1" applyBorder="1" applyAlignment="1">
      <alignment horizontal="center" vertical="center" wrapText="1"/>
    </xf>
    <xf numFmtId="164" fontId="13" fillId="2" borderId="0" xfId="1" applyNumberFormat="1" applyFont="1" applyFill="1" applyBorder="1" applyAlignment="1">
      <alignment horizontal="center" vertical="center" wrapText="1"/>
    </xf>
    <xf numFmtId="0" fontId="12" fillId="2" borderId="0" xfId="1" applyFont="1" applyFill="1" applyBorder="1"/>
    <xf numFmtId="164" fontId="14" fillId="2" borderId="0" xfId="2" applyNumberFormat="1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/>
    </xf>
    <xf numFmtId="164" fontId="14" fillId="2" borderId="10" xfId="2" applyNumberFormat="1" applyFont="1" applyFill="1" applyBorder="1" applyAlignment="1">
      <alignment horizontal="center" vertical="center" wrapText="1"/>
    </xf>
    <xf numFmtId="2" fontId="25" fillId="2" borderId="15" xfId="1" applyNumberFormat="1" applyFont="1" applyFill="1" applyBorder="1" applyAlignment="1">
      <alignment horizontal="center" vertical="center"/>
    </xf>
    <xf numFmtId="0" fontId="20" fillId="2" borderId="23" xfId="2" applyFont="1" applyFill="1" applyBorder="1" applyAlignment="1">
      <alignment horizontal="center" vertical="center" wrapText="1"/>
    </xf>
    <xf numFmtId="4" fontId="20" fillId="2" borderId="23" xfId="2" applyNumberFormat="1" applyFont="1" applyFill="1" applyBorder="1" applyAlignment="1">
      <alignment horizontal="center" vertical="center" wrapText="1"/>
    </xf>
    <xf numFmtId="0" fontId="20" fillId="2" borderId="22" xfId="2" applyFont="1" applyFill="1" applyBorder="1" applyAlignment="1">
      <alignment vertical="center" wrapText="1"/>
    </xf>
    <xf numFmtId="0" fontId="20" fillId="2" borderId="23" xfId="2" applyFont="1" applyFill="1" applyBorder="1" applyAlignment="1">
      <alignment vertical="center" wrapText="1"/>
    </xf>
    <xf numFmtId="4" fontId="21" fillId="2" borderId="23" xfId="2" applyNumberFormat="1" applyFont="1" applyFill="1" applyBorder="1" applyAlignment="1">
      <alignment horizontal="center" vertical="center" wrapText="1"/>
    </xf>
    <xf numFmtId="4" fontId="21" fillId="2" borderId="24" xfId="2" applyNumberFormat="1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4" fontId="21" fillId="2" borderId="8" xfId="2" applyNumberFormat="1" applyFont="1" applyFill="1" applyBorder="1" applyAlignment="1">
      <alignment horizontal="center" vertical="center" wrapText="1"/>
    </xf>
    <xf numFmtId="164" fontId="21" fillId="2" borderId="0" xfId="2" applyNumberFormat="1" applyFont="1" applyFill="1" applyBorder="1" applyAlignment="1">
      <alignment horizontal="center" vertical="center" wrapText="1"/>
    </xf>
    <xf numFmtId="164" fontId="20" fillId="2" borderId="0" xfId="2" applyNumberFormat="1" applyFont="1" applyFill="1" applyBorder="1" applyAlignment="1">
      <alignment horizontal="center" vertical="center" wrapText="1"/>
    </xf>
    <xf numFmtId="4" fontId="21" fillId="2" borderId="0" xfId="2" applyNumberFormat="1" applyFont="1" applyFill="1" applyBorder="1" applyAlignment="1">
      <alignment horizontal="center" vertical="center" wrapText="1"/>
    </xf>
    <xf numFmtId="4" fontId="12" fillId="2" borderId="0" xfId="2" applyNumberFormat="1" applyFont="1" applyFill="1"/>
    <xf numFmtId="0" fontId="0" fillId="2" borderId="0" xfId="0" applyFill="1"/>
    <xf numFmtId="0" fontId="0" fillId="2" borderId="0" xfId="0" applyFill="1" applyBorder="1"/>
    <xf numFmtId="0" fontId="20" fillId="2" borderId="0" xfId="2" applyFont="1" applyFill="1"/>
    <xf numFmtId="0" fontId="12" fillId="2" borderId="0" xfId="2" applyFont="1" applyFill="1" applyBorder="1"/>
    <xf numFmtId="164" fontId="12" fillId="2" borderId="0" xfId="1" applyNumberFormat="1" applyFont="1" applyFill="1"/>
    <xf numFmtId="0" fontId="20" fillId="2" borderId="0" xfId="2" applyFont="1" applyFill="1" applyBorder="1" applyAlignment="1">
      <alignment horizontal="left"/>
    </xf>
    <xf numFmtId="0" fontId="20" fillId="2" borderId="0" xfId="2" applyFont="1" applyFill="1" applyBorder="1"/>
    <xf numFmtId="0" fontId="25" fillId="2" borderId="0" xfId="0" applyFont="1" applyFill="1" applyBorder="1"/>
    <xf numFmtId="0" fontId="10" fillId="2" borderId="0" xfId="1" applyFill="1"/>
    <xf numFmtId="0" fontId="10" fillId="2" borderId="0" xfId="1" applyFill="1" applyBorder="1"/>
    <xf numFmtId="4" fontId="10" fillId="2" borderId="0" xfId="1" applyNumberFormat="1" applyFill="1"/>
    <xf numFmtId="0" fontId="26" fillId="0" borderId="27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4" fontId="20" fillId="2" borderId="15" xfId="2" applyNumberFormat="1" applyFont="1" applyFill="1" applyBorder="1" applyAlignment="1">
      <alignment horizontal="center" vertical="center" wrapText="1"/>
    </xf>
    <xf numFmtId="4" fontId="20" fillId="2" borderId="13" xfId="2" applyNumberFormat="1" applyFont="1" applyFill="1" applyBorder="1" applyAlignment="1">
      <alignment horizontal="center" vertical="center" wrapText="1"/>
    </xf>
    <xf numFmtId="4" fontId="20" fillId="2" borderId="29" xfId="2" applyNumberFormat="1" applyFont="1" applyFill="1" applyBorder="1" applyAlignment="1">
      <alignment horizontal="center" vertical="center" wrapText="1"/>
    </xf>
    <xf numFmtId="4" fontId="20" fillId="2" borderId="20" xfId="2" applyNumberFormat="1" applyFont="1" applyFill="1" applyBorder="1" applyAlignment="1">
      <alignment horizontal="center" vertical="center" wrapText="1"/>
    </xf>
    <xf numFmtId="164" fontId="20" fillId="2" borderId="15" xfId="2" applyNumberFormat="1" applyFont="1" applyFill="1" applyBorder="1" applyAlignment="1">
      <alignment horizontal="center" vertical="center" wrapText="1"/>
    </xf>
    <xf numFmtId="4" fontId="20" fillId="2" borderId="16" xfId="2" applyNumberFormat="1" applyFont="1" applyFill="1" applyBorder="1" applyAlignment="1">
      <alignment horizontal="center" vertical="center" wrapText="1"/>
    </xf>
    <xf numFmtId="0" fontId="20" fillId="2" borderId="22" xfId="3" applyNumberFormat="1" applyFont="1" applyFill="1" applyBorder="1" applyAlignment="1">
      <alignment horizontal="center" vertical="center" wrapText="1"/>
    </xf>
    <xf numFmtId="164" fontId="20" fillId="2" borderId="42" xfId="2" applyNumberFormat="1" applyFont="1" applyFill="1" applyBorder="1" applyAlignment="1">
      <alignment horizontal="center" vertical="center" wrapText="1"/>
    </xf>
    <xf numFmtId="4" fontId="20" fillId="2" borderId="24" xfId="2" applyNumberFormat="1" applyFont="1" applyFill="1" applyBorder="1" applyAlignment="1">
      <alignment horizontal="center" vertical="center" wrapText="1"/>
    </xf>
    <xf numFmtId="0" fontId="21" fillId="2" borderId="6" xfId="2" applyFont="1" applyFill="1" applyBorder="1" applyAlignment="1">
      <alignment horizontal="center" vertical="center" wrapText="1"/>
    </xf>
    <xf numFmtId="0" fontId="21" fillId="2" borderId="8" xfId="2" applyFont="1" applyFill="1" applyBorder="1" applyAlignment="1">
      <alignment horizontal="center" vertical="center" wrapText="1"/>
    </xf>
    <xf numFmtId="0" fontId="14" fillId="2" borderId="0" xfId="2" applyFont="1" applyFill="1" applyBorder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/>
    <xf numFmtId="0" fontId="3" fillId="2" borderId="0" xfId="1" applyFont="1" applyFill="1"/>
    <xf numFmtId="4" fontId="5" fillId="2" borderId="0" xfId="1" applyNumberFormat="1" applyFont="1" applyFill="1"/>
    <xf numFmtId="2" fontId="25" fillId="2" borderId="23" xfId="1" applyNumberFormat="1" applyFont="1" applyFill="1" applyBorder="1" applyAlignment="1">
      <alignment horizontal="center" vertical="center"/>
    </xf>
    <xf numFmtId="164" fontId="20" fillId="2" borderId="23" xfId="2" applyNumberFormat="1" applyFont="1" applyFill="1" applyBorder="1" applyAlignment="1">
      <alignment horizontal="center" vertical="center" wrapText="1"/>
    </xf>
    <xf numFmtId="2" fontId="25" fillId="2" borderId="13" xfId="1" applyNumberFormat="1" applyFont="1" applyFill="1" applyBorder="1" applyAlignment="1">
      <alignment horizontal="center" vertical="center"/>
    </xf>
    <xf numFmtId="4" fontId="20" fillId="2" borderId="33" xfId="2" applyNumberFormat="1" applyFont="1" applyFill="1" applyBorder="1" applyAlignment="1">
      <alignment horizontal="center" vertical="center" wrapText="1"/>
    </xf>
    <xf numFmtId="0" fontId="20" fillId="2" borderId="13" xfId="2" applyFont="1" applyFill="1" applyBorder="1" applyAlignment="1">
      <alignment horizontal="center" vertical="center" wrapText="1"/>
    </xf>
    <xf numFmtId="0" fontId="20" fillId="2" borderId="23" xfId="3" applyNumberFormat="1" applyFont="1" applyFill="1" applyBorder="1" applyAlignment="1">
      <alignment horizontal="center" vertical="center" wrapText="1"/>
    </xf>
    <xf numFmtId="2" fontId="25" fillId="2" borderId="24" xfId="1" applyNumberFormat="1" applyFont="1" applyFill="1" applyBorder="1" applyAlignment="1">
      <alignment horizontal="center" vertical="center"/>
    </xf>
    <xf numFmtId="164" fontId="20" fillId="2" borderId="8" xfId="2" applyNumberFormat="1" applyFont="1" applyFill="1" applyBorder="1" applyAlignment="1">
      <alignment horizontal="center" vertical="center" wrapText="1"/>
    </xf>
    <xf numFmtId="4" fontId="20" fillId="2" borderId="18" xfId="2" applyNumberFormat="1" applyFont="1" applyFill="1" applyBorder="1" applyAlignment="1">
      <alignment vertical="center" wrapText="1"/>
    </xf>
    <xf numFmtId="4" fontId="20" fillId="2" borderId="15" xfId="2" applyNumberFormat="1" applyFont="1" applyFill="1" applyBorder="1" applyAlignment="1">
      <alignment vertical="center" wrapText="1"/>
    </xf>
    <xf numFmtId="0" fontId="20" fillId="2" borderId="15" xfId="2" applyFont="1" applyFill="1" applyBorder="1" applyAlignment="1">
      <alignment vertical="center" wrapText="1"/>
    </xf>
    <xf numFmtId="4" fontId="20" fillId="2" borderId="19" xfId="2" applyNumberFormat="1" applyFont="1" applyFill="1" applyBorder="1" applyAlignment="1">
      <alignment vertical="center" wrapText="1"/>
    </xf>
    <xf numFmtId="4" fontId="20" fillId="2" borderId="21" xfId="2" applyNumberFormat="1" applyFont="1" applyFill="1" applyBorder="1" applyAlignment="1">
      <alignment vertical="center" wrapText="1"/>
    </xf>
    <xf numFmtId="0" fontId="20" fillId="2" borderId="21" xfId="2" applyFont="1" applyFill="1" applyBorder="1" applyAlignment="1">
      <alignment vertical="center" wrapText="1"/>
    </xf>
    <xf numFmtId="0" fontId="10" fillId="2" borderId="7" xfId="1" applyFill="1" applyBorder="1"/>
    <xf numFmtId="2" fontId="25" fillId="2" borderId="7" xfId="1" applyNumberFormat="1" applyFont="1" applyFill="1" applyBorder="1" applyAlignment="1">
      <alignment horizontal="center" vertical="center"/>
    </xf>
    <xf numFmtId="164" fontId="20" fillId="2" borderId="7" xfId="2" applyNumberFormat="1" applyFont="1" applyFill="1" applyBorder="1" applyAlignment="1">
      <alignment horizontal="center" vertical="center" wrapText="1"/>
    </xf>
    <xf numFmtId="2" fontId="25" fillId="2" borderId="10" xfId="1" applyNumberFormat="1" applyFont="1" applyFill="1" applyBorder="1" applyAlignment="1">
      <alignment horizontal="center" vertical="center"/>
    </xf>
    <xf numFmtId="0" fontId="25" fillId="2" borderId="15" xfId="1" applyFont="1" applyFill="1" applyBorder="1" applyAlignment="1">
      <alignment horizontal="center" vertical="center" wrapText="1"/>
    </xf>
    <xf numFmtId="0" fontId="25" fillId="2" borderId="19" xfId="1" applyFont="1" applyFill="1" applyBorder="1" applyAlignment="1">
      <alignment horizontal="center" vertical="center" wrapText="1"/>
    </xf>
    <xf numFmtId="0" fontId="10" fillId="2" borderId="21" xfId="1" applyFill="1" applyBorder="1"/>
    <xf numFmtId="2" fontId="25" fillId="2" borderId="20" xfId="1" applyNumberFormat="1" applyFont="1" applyFill="1" applyBorder="1" applyAlignment="1">
      <alignment horizontal="center" vertical="center"/>
    </xf>
    <xf numFmtId="0" fontId="25" fillId="2" borderId="23" xfId="1" applyFont="1" applyFill="1" applyBorder="1" applyAlignment="1">
      <alignment horizontal="center" vertical="center" wrapText="1"/>
    </xf>
    <xf numFmtId="4" fontId="23" fillId="0" borderId="25" xfId="0" applyNumberFormat="1" applyFont="1" applyBorder="1" applyAlignment="1">
      <alignment horizontal="right" vertical="center" wrapText="1"/>
    </xf>
    <xf numFmtId="0" fontId="23" fillId="0" borderId="25" xfId="0" applyFont="1" applyBorder="1" applyAlignment="1">
      <alignment horizontal="right" vertical="center" wrapText="1"/>
    </xf>
    <xf numFmtId="4" fontId="24" fillId="0" borderId="25" xfId="0" applyNumberFormat="1" applyFont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4" fontId="21" fillId="2" borderId="33" xfId="2" applyNumberFormat="1" applyFont="1" applyFill="1" applyBorder="1" applyAlignment="1">
      <alignment horizontal="center" vertical="center" wrapText="1"/>
    </xf>
    <xf numFmtId="0" fontId="2" fillId="2" borderId="0" xfId="1" applyFont="1" applyFill="1"/>
    <xf numFmtId="0" fontId="20" fillId="2" borderId="13" xfId="1" applyFont="1" applyFill="1" applyBorder="1" applyAlignment="1">
      <alignment horizontal="center" vertical="center" wrapText="1"/>
    </xf>
    <xf numFmtId="0" fontId="25" fillId="2" borderId="21" xfId="1" applyFont="1" applyFill="1" applyBorder="1" applyAlignment="1">
      <alignment horizontal="center" vertical="center" wrapText="1"/>
    </xf>
    <xf numFmtId="4" fontId="0" fillId="2" borderId="0" xfId="0" applyNumberFormat="1" applyFill="1" applyBorder="1"/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2" fontId="20" fillId="2" borderId="15" xfId="2" applyNumberFormat="1" applyFont="1" applyFill="1" applyBorder="1" applyAlignment="1">
      <alignment vertical="center" wrapText="1"/>
    </xf>
    <xf numFmtId="0" fontId="20" fillId="2" borderId="13" xfId="3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2" fontId="0" fillId="0" borderId="0" xfId="0" applyNumberFormat="1"/>
    <xf numFmtId="0" fontId="20" fillId="2" borderId="21" xfId="2" applyFont="1" applyFill="1" applyBorder="1" applyAlignment="1">
      <alignment horizontal="center" vertical="top" wrapText="1"/>
    </xf>
    <xf numFmtId="4" fontId="20" fillId="2" borderId="52" xfId="2" applyNumberFormat="1" applyFont="1" applyFill="1" applyBorder="1" applyAlignment="1">
      <alignment horizontal="center" vertical="center" wrapText="1"/>
    </xf>
    <xf numFmtId="2" fontId="20" fillId="2" borderId="13" xfId="3" applyNumberFormat="1" applyFont="1" applyFill="1" applyBorder="1" applyAlignment="1">
      <alignment horizontal="center" vertical="center" wrapText="1"/>
    </xf>
    <xf numFmtId="2" fontId="20" fillId="2" borderId="15" xfId="1" applyNumberFormat="1" applyFont="1" applyFill="1" applyBorder="1" applyAlignment="1">
      <alignment horizontal="center" vertical="center"/>
    </xf>
    <xf numFmtId="2" fontId="20" fillId="2" borderId="16" xfId="1" applyNumberFormat="1" applyFont="1" applyFill="1" applyBorder="1" applyAlignment="1">
      <alignment horizontal="center" vertical="center"/>
    </xf>
    <xf numFmtId="4" fontId="20" fillId="2" borderId="39" xfId="2" applyNumberFormat="1" applyFont="1" applyFill="1" applyBorder="1" applyAlignment="1">
      <alignment horizontal="center" vertical="center" wrapText="1"/>
    </xf>
    <xf numFmtId="0" fontId="10" fillId="2" borderId="15" xfId="1" applyFill="1" applyBorder="1"/>
    <xf numFmtId="0" fontId="29" fillId="2" borderId="0" xfId="0" applyFont="1" applyFill="1" applyAlignment="1">
      <alignment vertical="center"/>
    </xf>
    <xf numFmtId="0" fontId="28" fillId="2" borderId="0" xfId="0" applyFont="1" applyFill="1"/>
    <xf numFmtId="0" fontId="30" fillId="2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29" fillId="2" borderId="0" xfId="0" applyFont="1" applyFill="1" applyBorder="1" applyAlignment="1">
      <alignment vertical="center" wrapText="1"/>
    </xf>
    <xf numFmtId="4" fontId="23" fillId="2" borderId="0" xfId="0" applyNumberFormat="1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31" fillId="2" borderId="0" xfId="0" applyFont="1" applyFill="1" applyAlignment="1">
      <alignment vertical="center"/>
    </xf>
    <xf numFmtId="2" fontId="20" fillId="2" borderId="13" xfId="2" applyNumberFormat="1" applyFont="1" applyFill="1" applyBorder="1" applyAlignment="1">
      <alignment horizontal="center" vertical="center" wrapText="1"/>
    </xf>
    <xf numFmtId="4" fontId="20" fillId="2" borderId="0" xfId="2" applyNumberFormat="1" applyFont="1" applyFill="1" applyBorder="1" applyAlignment="1">
      <alignment horizontal="center" vertical="center" wrapText="1"/>
    </xf>
    <xf numFmtId="0" fontId="20" fillId="2" borderId="18" xfId="2" applyFont="1" applyFill="1" applyBorder="1" applyAlignment="1">
      <alignment horizontal="center" vertical="center" wrapText="1"/>
    </xf>
    <xf numFmtId="0" fontId="20" fillId="2" borderId="19" xfId="2" applyFont="1" applyFill="1" applyBorder="1" applyAlignment="1">
      <alignment horizontal="center" vertical="center" wrapText="1"/>
    </xf>
    <xf numFmtId="0" fontId="20" fillId="2" borderId="8" xfId="2" applyFont="1" applyFill="1" applyBorder="1" applyAlignment="1">
      <alignment horizontal="center" vertical="center" wrapText="1"/>
    </xf>
    <xf numFmtId="4" fontId="20" fillId="2" borderId="18" xfId="2" applyNumberFormat="1" applyFont="1" applyFill="1" applyBorder="1" applyAlignment="1">
      <alignment horizontal="center" vertical="center" wrapText="1"/>
    </xf>
    <xf numFmtId="4" fontId="20" fillId="2" borderId="19" xfId="2" applyNumberFormat="1" applyFont="1" applyFill="1" applyBorder="1" applyAlignment="1">
      <alignment horizontal="center" vertical="center" wrapText="1"/>
    </xf>
    <xf numFmtId="4" fontId="20" fillId="2" borderId="8" xfId="2" applyNumberFormat="1" applyFont="1" applyFill="1" applyBorder="1" applyAlignment="1">
      <alignment horizontal="center" vertical="center" wrapText="1"/>
    </xf>
    <xf numFmtId="0" fontId="20" fillId="2" borderId="21" xfId="2" applyFont="1" applyFill="1" applyBorder="1" applyAlignment="1">
      <alignment horizontal="center" vertical="center" wrapText="1"/>
    </xf>
    <xf numFmtId="4" fontId="20" fillId="2" borderId="21" xfId="2" applyNumberFormat="1" applyFont="1" applyFill="1" applyBorder="1" applyAlignment="1">
      <alignment horizontal="center" vertical="center" wrapText="1"/>
    </xf>
    <xf numFmtId="164" fontId="20" fillId="2" borderId="18" xfId="2" applyNumberFormat="1" applyFont="1" applyFill="1" applyBorder="1" applyAlignment="1">
      <alignment horizontal="center" vertical="center" wrapText="1"/>
    </xf>
    <xf numFmtId="164" fontId="20" fillId="2" borderId="19" xfId="2" applyNumberFormat="1" applyFont="1" applyFill="1" applyBorder="1" applyAlignment="1">
      <alignment horizontal="center" vertical="center" wrapText="1"/>
    </xf>
    <xf numFmtId="164" fontId="20" fillId="2" borderId="21" xfId="2" applyNumberFormat="1" applyFont="1" applyFill="1" applyBorder="1" applyAlignment="1">
      <alignment horizontal="center" vertical="center" wrapText="1"/>
    </xf>
    <xf numFmtId="0" fontId="20" fillId="2" borderId="21" xfId="3" applyNumberFormat="1" applyFont="1" applyFill="1" applyBorder="1" applyAlignment="1">
      <alignment horizontal="center" vertical="center" wrapText="1"/>
    </xf>
    <xf numFmtId="0" fontId="20" fillId="2" borderId="15" xfId="2" applyFont="1" applyFill="1" applyBorder="1" applyAlignment="1">
      <alignment horizontal="center" vertical="center" wrapText="1"/>
    </xf>
    <xf numFmtId="0" fontId="14" fillId="2" borderId="0" xfId="2" applyFont="1" applyFill="1" applyBorder="1" applyAlignment="1">
      <alignment horizontal="center" vertical="center" wrapText="1"/>
    </xf>
    <xf numFmtId="2" fontId="25" fillId="2" borderId="21" xfId="1" applyNumberFormat="1" applyFont="1" applyFill="1" applyBorder="1" applyAlignment="1">
      <alignment horizontal="center" vertical="center"/>
    </xf>
    <xf numFmtId="2" fontId="20" fillId="2" borderId="8" xfId="2" applyNumberFormat="1" applyFont="1" applyFill="1" applyBorder="1" applyAlignment="1">
      <alignment horizontal="center" vertical="center" wrapText="1"/>
    </xf>
    <xf numFmtId="0" fontId="20" fillId="2" borderId="48" xfId="3" applyNumberFormat="1" applyFont="1" applyFill="1" applyBorder="1" applyAlignment="1">
      <alignment horizontal="center" vertical="center" wrapText="1"/>
    </xf>
    <xf numFmtId="0" fontId="20" fillId="2" borderId="50" xfId="3" applyNumberFormat="1" applyFont="1" applyFill="1" applyBorder="1" applyAlignment="1">
      <alignment horizontal="center" vertical="center" wrapText="1"/>
    </xf>
    <xf numFmtId="0" fontId="20" fillId="2" borderId="15" xfId="3" applyNumberFormat="1" applyFont="1" applyFill="1" applyBorder="1" applyAlignment="1">
      <alignment horizontal="center" vertical="center" wrapText="1"/>
    </xf>
    <xf numFmtId="2" fontId="25" fillId="2" borderId="8" xfId="1" applyNumberFormat="1" applyFont="1" applyFill="1" applyBorder="1" applyAlignment="1">
      <alignment horizontal="center" vertical="center"/>
    </xf>
    <xf numFmtId="4" fontId="20" fillId="2" borderId="50" xfId="2" applyNumberFormat="1" applyFont="1" applyFill="1" applyBorder="1" applyAlignment="1">
      <alignment horizontal="center" vertical="center" wrapText="1"/>
    </xf>
    <xf numFmtId="0" fontId="20" fillId="2" borderId="35" xfId="3" applyNumberFormat="1" applyFont="1" applyFill="1" applyBorder="1" applyAlignment="1">
      <alignment horizontal="center" vertical="center" wrapText="1"/>
    </xf>
    <xf numFmtId="2" fontId="25" fillId="2" borderId="50" xfId="1" applyNumberFormat="1" applyFont="1" applyFill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right" vertical="center" wrapText="1"/>
    </xf>
    <xf numFmtId="0" fontId="26" fillId="0" borderId="47" xfId="0" applyFont="1" applyBorder="1" applyAlignment="1">
      <alignment vertical="center" wrapText="1"/>
    </xf>
    <xf numFmtId="0" fontId="28" fillId="0" borderId="0" xfId="0" applyFont="1"/>
    <xf numFmtId="0" fontId="20" fillId="2" borderId="22" xfId="3" applyNumberFormat="1" applyFont="1" applyFill="1" applyBorder="1" applyAlignment="1">
      <alignment vertical="center" wrapText="1"/>
    </xf>
    <xf numFmtId="0" fontId="25" fillId="2" borderId="13" xfId="1" applyFont="1" applyFill="1" applyBorder="1" applyAlignment="1">
      <alignment horizontal="center" vertical="center" wrapText="1"/>
    </xf>
    <xf numFmtId="4" fontId="20" fillId="2" borderId="7" xfId="2" applyNumberFormat="1" applyFont="1" applyFill="1" applyBorder="1" applyAlignment="1">
      <alignment horizontal="center" vertical="center" wrapText="1"/>
    </xf>
    <xf numFmtId="2" fontId="20" fillId="2" borderId="20" xfId="1" applyNumberFormat="1" applyFont="1" applyFill="1" applyBorder="1" applyAlignment="1">
      <alignment horizontal="center" vertical="center"/>
    </xf>
    <xf numFmtId="4" fontId="20" fillId="2" borderId="10" xfId="2" applyNumberFormat="1" applyFont="1" applyFill="1" applyBorder="1" applyAlignment="1">
      <alignment horizontal="center" vertical="center" wrapText="1"/>
    </xf>
    <xf numFmtId="0" fontId="32" fillId="2" borderId="0" xfId="2" applyFont="1" applyFill="1" applyBorder="1" applyAlignment="1">
      <alignment horizontal="left"/>
    </xf>
    <xf numFmtId="0" fontId="33" fillId="2" borderId="0" xfId="2" applyFont="1" applyFill="1" applyBorder="1"/>
    <xf numFmtId="0" fontId="34" fillId="2" borderId="0" xfId="0" applyFont="1" applyFill="1" applyBorder="1"/>
    <xf numFmtId="0" fontId="32" fillId="2" borderId="0" xfId="2" applyFont="1" applyFill="1" applyBorder="1"/>
    <xf numFmtId="0" fontId="32" fillId="2" borderId="0" xfId="2" applyFont="1" applyFill="1" applyAlignment="1">
      <alignment horizontal="left"/>
    </xf>
    <xf numFmtId="0" fontId="32" fillId="2" borderId="0" xfId="2" applyFont="1" applyFill="1"/>
    <xf numFmtId="0" fontId="33" fillId="2" borderId="0" xfId="2" applyFont="1" applyFill="1"/>
    <xf numFmtId="0" fontId="20" fillId="2" borderId="21" xfId="2" applyFont="1" applyFill="1" applyBorder="1" applyAlignment="1">
      <alignment horizontal="center" vertical="center" wrapText="1"/>
    </xf>
    <xf numFmtId="4" fontId="20" fillId="2" borderId="21" xfId="2" applyNumberFormat="1" applyFont="1" applyFill="1" applyBorder="1" applyAlignment="1">
      <alignment horizontal="center" vertical="center" wrapText="1"/>
    </xf>
    <xf numFmtId="0" fontId="20" fillId="2" borderId="15" xfId="2" applyFont="1" applyFill="1" applyBorder="1" applyAlignment="1">
      <alignment horizontal="center" vertical="center" wrapText="1"/>
    </xf>
    <xf numFmtId="164" fontId="20" fillId="2" borderId="19" xfId="2" applyNumberFormat="1" applyFont="1" applyFill="1" applyBorder="1" applyAlignment="1">
      <alignment horizontal="center" vertical="center" wrapText="1"/>
    </xf>
    <xf numFmtId="164" fontId="20" fillId="2" borderId="21" xfId="2" applyNumberFormat="1" applyFont="1" applyFill="1" applyBorder="1" applyAlignment="1">
      <alignment horizontal="center" vertical="center" wrapText="1"/>
    </xf>
    <xf numFmtId="164" fontId="20" fillId="2" borderId="8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0" fillId="2" borderId="1" xfId="3" applyNumberFormat="1" applyFont="1" applyFill="1" applyBorder="1" applyAlignment="1">
      <alignment horizontal="center" vertical="center" wrapText="1"/>
    </xf>
    <xf numFmtId="0" fontId="20" fillId="2" borderId="6" xfId="3" applyNumberFormat="1" applyFont="1" applyFill="1" applyBorder="1" applyAlignment="1">
      <alignment horizontal="center" vertical="center" wrapText="1"/>
    </xf>
    <xf numFmtId="0" fontId="21" fillId="2" borderId="11" xfId="2" applyFont="1" applyFill="1" applyBorder="1" applyAlignment="1">
      <alignment horizontal="center" vertical="center"/>
    </xf>
    <xf numFmtId="0" fontId="21" fillId="2" borderId="30" xfId="2" applyFont="1" applyFill="1" applyBorder="1" applyAlignment="1">
      <alignment horizontal="center" vertical="center"/>
    </xf>
    <xf numFmtId="0" fontId="21" fillId="2" borderId="12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 wrapText="1"/>
    </xf>
    <xf numFmtId="0" fontId="20" fillId="2" borderId="19" xfId="2" applyFont="1" applyFill="1" applyBorder="1" applyAlignment="1">
      <alignment horizontal="center" vertical="center" wrapText="1"/>
    </xf>
    <xf numFmtId="0" fontId="20" fillId="2" borderId="8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20" fillId="2" borderId="21" xfId="2" applyFont="1" applyFill="1" applyBorder="1" applyAlignment="1">
      <alignment horizontal="center" vertical="center" wrapText="1"/>
    </xf>
    <xf numFmtId="4" fontId="20" fillId="2" borderId="4" xfId="2" applyNumberFormat="1" applyFont="1" applyFill="1" applyBorder="1" applyAlignment="1">
      <alignment horizontal="center" vertical="center" wrapText="1"/>
    </xf>
    <xf numFmtId="4" fontId="20" fillId="2" borderId="19" xfId="2" applyNumberFormat="1" applyFont="1" applyFill="1" applyBorder="1" applyAlignment="1">
      <alignment horizontal="center" vertical="center" wrapText="1"/>
    </xf>
    <xf numFmtId="4" fontId="20" fillId="2" borderId="21" xfId="2" applyNumberFormat="1" applyFont="1" applyFill="1" applyBorder="1" applyAlignment="1">
      <alignment horizontal="center" vertical="center" wrapText="1"/>
    </xf>
    <xf numFmtId="0" fontId="20" fillId="2" borderId="9" xfId="2" applyFont="1" applyFill="1" applyBorder="1" applyAlignment="1">
      <alignment horizontal="center" vertical="center" wrapText="1"/>
    </xf>
    <xf numFmtId="0" fontId="20" fillId="2" borderId="40" xfId="2" applyFont="1" applyFill="1" applyBorder="1" applyAlignment="1">
      <alignment horizontal="center" vertical="center" wrapText="1"/>
    </xf>
    <xf numFmtId="0" fontId="20" fillId="2" borderId="41" xfId="2" applyFont="1" applyFill="1" applyBorder="1" applyAlignment="1">
      <alignment horizontal="center" vertical="center" wrapText="1"/>
    </xf>
    <xf numFmtId="0" fontId="30" fillId="2" borderId="0" xfId="0" applyFont="1" applyFill="1" applyAlignment="1">
      <alignment vertical="center" wrapText="1"/>
    </xf>
    <xf numFmtId="4" fontId="23" fillId="0" borderId="31" xfId="0" applyNumberFormat="1" applyFont="1" applyBorder="1" applyAlignment="1">
      <alignment horizontal="right" vertical="center" wrapText="1"/>
    </xf>
    <xf numFmtId="4" fontId="23" fillId="0" borderId="27" xfId="0" applyNumberFormat="1" applyFont="1" applyBorder="1" applyAlignment="1">
      <alignment horizontal="right" vertical="center" wrapText="1"/>
    </xf>
    <xf numFmtId="0" fontId="20" fillId="2" borderId="19" xfId="3" applyNumberFormat="1" applyFont="1" applyFill="1" applyBorder="1" applyAlignment="1">
      <alignment horizontal="center" vertical="center" wrapText="1"/>
    </xf>
    <xf numFmtId="0" fontId="20" fillId="2" borderId="21" xfId="3" applyNumberFormat="1" applyFont="1" applyFill="1" applyBorder="1" applyAlignment="1">
      <alignment horizontal="center" vertical="center" wrapText="1"/>
    </xf>
    <xf numFmtId="0" fontId="20" fillId="2" borderId="17" xfId="3" applyNumberFormat="1" applyFont="1" applyFill="1" applyBorder="1" applyAlignment="1">
      <alignment horizontal="center" vertical="center" wrapText="1"/>
    </xf>
    <xf numFmtId="0" fontId="20" fillId="2" borderId="9" xfId="3" applyNumberFormat="1" applyFont="1" applyFill="1" applyBorder="1" applyAlignment="1">
      <alignment horizontal="center" vertical="center" wrapText="1"/>
    </xf>
    <xf numFmtId="0" fontId="20" fillId="2" borderId="40" xfId="3" applyNumberFormat="1" applyFont="1" applyFill="1" applyBorder="1" applyAlignment="1">
      <alignment horizontal="center" vertical="center" wrapText="1"/>
    </xf>
    <xf numFmtId="0" fontId="20" fillId="2" borderId="41" xfId="3" applyNumberFormat="1" applyFont="1" applyFill="1" applyBorder="1" applyAlignment="1">
      <alignment horizontal="center" vertical="center" wrapText="1"/>
    </xf>
    <xf numFmtId="0" fontId="20" fillId="2" borderId="32" xfId="2" applyFont="1" applyFill="1" applyBorder="1" applyAlignment="1">
      <alignment horizontal="center" vertical="center" wrapText="1"/>
    </xf>
    <xf numFmtId="0" fontId="20" fillId="2" borderId="39" xfId="2" applyFont="1" applyFill="1" applyBorder="1" applyAlignment="1">
      <alignment horizontal="center" vertical="center" wrapText="1"/>
    </xf>
    <xf numFmtId="2" fontId="25" fillId="2" borderId="18" xfId="1" applyNumberFormat="1" applyFont="1" applyFill="1" applyBorder="1" applyAlignment="1">
      <alignment horizontal="center" vertical="center"/>
    </xf>
    <xf numFmtId="2" fontId="25" fillId="2" borderId="21" xfId="1" applyNumberFormat="1" applyFont="1" applyFill="1" applyBorder="1" applyAlignment="1">
      <alignment horizontal="center" vertical="center"/>
    </xf>
    <xf numFmtId="0" fontId="20" fillId="2" borderId="18" xfId="3" applyNumberFormat="1" applyFont="1" applyFill="1" applyBorder="1" applyAlignment="1">
      <alignment horizontal="center" vertical="center" wrapText="1"/>
    </xf>
    <xf numFmtId="2" fontId="20" fillId="2" borderId="18" xfId="2" applyNumberFormat="1" applyFont="1" applyFill="1" applyBorder="1" applyAlignment="1">
      <alignment horizontal="center" vertical="center" wrapText="1"/>
    </xf>
    <xf numFmtId="2" fontId="20" fillId="2" borderId="19" xfId="2" applyNumberFormat="1" applyFont="1" applyFill="1" applyBorder="1" applyAlignment="1">
      <alignment horizontal="center" vertical="center" wrapText="1"/>
    </xf>
    <xf numFmtId="2" fontId="20" fillId="2" borderId="8" xfId="2" applyNumberFormat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vertical="center" wrapText="1"/>
    </xf>
    <xf numFmtId="0" fontId="14" fillId="2" borderId="0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 wrapText="1"/>
    </xf>
    <xf numFmtId="0" fontId="20" fillId="2" borderId="15" xfId="2" applyFont="1" applyFill="1" applyBorder="1" applyAlignment="1">
      <alignment horizontal="center" vertical="center" wrapText="1"/>
    </xf>
    <xf numFmtId="164" fontId="20" fillId="2" borderId="51" xfId="2" applyNumberFormat="1" applyFont="1" applyFill="1" applyBorder="1" applyAlignment="1">
      <alignment horizontal="center" vertical="center" wrapText="1"/>
    </xf>
    <xf numFmtId="164" fontId="20" fillId="2" borderId="50" xfId="2" applyNumberFormat="1" applyFont="1" applyFill="1" applyBorder="1" applyAlignment="1">
      <alignment horizontal="center" vertical="center" wrapText="1"/>
    </xf>
    <xf numFmtId="0" fontId="20" fillId="2" borderId="46" xfId="2" applyFont="1" applyFill="1" applyBorder="1" applyAlignment="1">
      <alignment horizontal="center" vertical="center" wrapText="1"/>
    </xf>
    <xf numFmtId="0" fontId="20" fillId="2" borderId="30" xfId="2" applyFont="1" applyFill="1" applyBorder="1" applyAlignment="1">
      <alignment horizontal="center" vertical="center" wrapText="1"/>
    </xf>
    <xf numFmtId="0" fontId="20" fillId="2" borderId="42" xfId="2" applyFont="1" applyFill="1" applyBorder="1" applyAlignment="1">
      <alignment horizontal="center" vertical="center" wrapText="1"/>
    </xf>
    <xf numFmtId="0" fontId="14" fillId="2" borderId="28" xfId="2" applyFont="1" applyFill="1" applyBorder="1" applyAlignment="1">
      <alignment horizontal="center" vertical="center"/>
    </xf>
    <xf numFmtId="0" fontId="14" fillId="2" borderId="34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164" fontId="20" fillId="2" borderId="18" xfId="2" applyNumberFormat="1" applyFont="1" applyFill="1" applyBorder="1" applyAlignment="1">
      <alignment horizontal="center" vertical="center" wrapText="1"/>
    </xf>
    <xf numFmtId="164" fontId="20" fillId="2" borderId="19" xfId="2" applyNumberFormat="1" applyFont="1" applyFill="1" applyBorder="1" applyAlignment="1">
      <alignment horizontal="center" vertical="center" wrapText="1"/>
    </xf>
    <xf numFmtId="164" fontId="20" fillId="2" borderId="21" xfId="2" applyNumberFormat="1" applyFont="1" applyFill="1" applyBorder="1" applyAlignment="1">
      <alignment horizontal="center" vertical="center" wrapText="1"/>
    </xf>
    <xf numFmtId="4" fontId="20" fillId="2" borderId="18" xfId="2" applyNumberFormat="1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17" xfId="2" applyFont="1" applyFill="1" applyBorder="1" applyAlignment="1">
      <alignment horizontal="center" vertical="center" wrapText="1"/>
    </xf>
    <xf numFmtId="0" fontId="20" fillId="2" borderId="6" xfId="2" applyFont="1" applyFill="1" applyBorder="1" applyAlignment="1">
      <alignment horizontal="center" vertical="center" wrapText="1"/>
    </xf>
    <xf numFmtId="0" fontId="20" fillId="2" borderId="7" xfId="2" applyFont="1" applyFill="1" applyBorder="1" applyAlignment="1">
      <alignment horizontal="center" vertical="center" wrapText="1"/>
    </xf>
    <xf numFmtId="4" fontId="20" fillId="2" borderId="8" xfId="2" applyNumberFormat="1" applyFont="1" applyFill="1" applyBorder="1" applyAlignment="1">
      <alignment horizontal="center" vertical="center" wrapText="1"/>
    </xf>
    <xf numFmtId="4" fontId="23" fillId="2" borderId="31" xfId="0" applyNumberFormat="1" applyFont="1" applyFill="1" applyBorder="1" applyAlignment="1">
      <alignment horizontal="right" vertical="center" wrapText="1"/>
    </xf>
    <xf numFmtId="4" fontId="23" fillId="2" borderId="27" xfId="0" applyNumberFormat="1" applyFont="1" applyFill="1" applyBorder="1" applyAlignment="1">
      <alignment horizontal="right" vertical="center" wrapText="1"/>
    </xf>
    <xf numFmtId="0" fontId="20" fillId="2" borderId="43" xfId="2" applyFont="1" applyFill="1" applyBorder="1" applyAlignment="1">
      <alignment horizontal="center" vertical="center" wrapText="1"/>
    </xf>
    <xf numFmtId="0" fontId="20" fillId="2" borderId="44" xfId="2" applyFont="1" applyFill="1" applyBorder="1" applyAlignment="1">
      <alignment horizontal="center" vertical="center" wrapText="1"/>
    </xf>
    <xf numFmtId="0" fontId="20" fillId="2" borderId="45" xfId="2" applyFont="1" applyFill="1" applyBorder="1" applyAlignment="1">
      <alignment horizontal="center" vertical="center" wrapText="1"/>
    </xf>
    <xf numFmtId="0" fontId="20" fillId="2" borderId="48" xfId="3" applyNumberFormat="1" applyFont="1" applyFill="1" applyBorder="1" applyAlignment="1">
      <alignment horizontal="center" vertical="center" wrapText="1"/>
    </xf>
    <xf numFmtId="0" fontId="20" fillId="2" borderId="49" xfId="3" applyNumberFormat="1" applyFont="1" applyFill="1" applyBorder="1" applyAlignment="1">
      <alignment horizontal="center" vertical="center" wrapText="1"/>
    </xf>
    <xf numFmtId="0" fontId="20" fillId="2" borderId="50" xfId="3" applyNumberFormat="1" applyFont="1" applyFill="1" applyBorder="1" applyAlignment="1">
      <alignment horizontal="center" vertical="center" wrapText="1"/>
    </xf>
    <xf numFmtId="0" fontId="20" fillId="2" borderId="32" xfId="3" applyNumberFormat="1" applyFont="1" applyFill="1" applyBorder="1" applyAlignment="1">
      <alignment horizontal="center" vertical="center" wrapText="1"/>
    </xf>
    <xf numFmtId="0" fontId="20" fillId="2" borderId="38" xfId="3" applyNumberFormat="1" applyFont="1" applyFill="1" applyBorder="1" applyAlignment="1">
      <alignment horizontal="center" vertical="center" wrapText="1"/>
    </xf>
    <xf numFmtId="0" fontId="20" fillId="2" borderId="39" xfId="3" applyNumberFormat="1" applyFont="1" applyFill="1" applyBorder="1" applyAlignment="1">
      <alignment horizontal="center" vertical="center" wrapText="1"/>
    </xf>
    <xf numFmtId="0" fontId="20" fillId="2" borderId="54" xfId="3" applyNumberFormat="1" applyFont="1" applyFill="1" applyBorder="1" applyAlignment="1">
      <alignment horizontal="center" vertical="center" wrapText="1"/>
    </xf>
    <xf numFmtId="0" fontId="20" fillId="2" borderId="15" xfId="3" applyNumberFormat="1" applyFont="1" applyFill="1" applyBorder="1" applyAlignment="1">
      <alignment horizontal="center" vertical="center" wrapText="1"/>
    </xf>
    <xf numFmtId="2" fontId="25" fillId="2" borderId="56" xfId="1" applyNumberFormat="1" applyFont="1" applyFill="1" applyBorder="1" applyAlignment="1">
      <alignment horizontal="center" vertical="center"/>
    </xf>
    <xf numFmtId="2" fontId="25" fillId="2" borderId="50" xfId="1" applyNumberFormat="1" applyFont="1" applyFill="1" applyBorder="1" applyAlignment="1">
      <alignment horizontal="center" vertical="center"/>
    </xf>
    <xf numFmtId="0" fontId="21" fillId="2" borderId="46" xfId="2" applyFont="1" applyFill="1" applyBorder="1" applyAlignment="1">
      <alignment horizontal="center" vertical="center" wrapText="1"/>
    </xf>
    <xf numFmtId="0" fontId="21" fillId="2" borderId="30" xfId="2" applyFont="1" applyFill="1" applyBorder="1" applyAlignment="1">
      <alignment horizontal="center" vertical="center" wrapText="1"/>
    </xf>
    <xf numFmtId="0" fontId="21" fillId="2" borderId="42" xfId="2" applyFont="1" applyFill="1" applyBorder="1" applyAlignment="1">
      <alignment horizontal="center" vertical="center" wrapText="1"/>
    </xf>
    <xf numFmtId="0" fontId="20" fillId="2" borderId="38" xfId="2" applyFont="1" applyFill="1" applyBorder="1" applyAlignment="1">
      <alignment horizontal="center" vertical="center" wrapText="1"/>
    </xf>
    <xf numFmtId="0" fontId="20" fillId="2" borderId="35" xfId="3" applyNumberFormat="1" applyFont="1" applyFill="1" applyBorder="1" applyAlignment="1">
      <alignment horizontal="center" vertical="center" wrapText="1"/>
    </xf>
    <xf numFmtId="0" fontId="20" fillId="2" borderId="36" xfId="3" applyNumberFormat="1" applyFont="1" applyFill="1" applyBorder="1" applyAlignment="1">
      <alignment horizontal="center" vertical="center" wrapText="1"/>
    </xf>
    <xf numFmtId="0" fontId="20" fillId="2" borderId="37" xfId="3" applyNumberFormat="1" applyFont="1" applyFill="1" applyBorder="1" applyAlignment="1">
      <alignment horizontal="center" vertical="center" wrapText="1"/>
    </xf>
    <xf numFmtId="2" fontId="25" fillId="2" borderId="19" xfId="1" applyNumberFormat="1" applyFont="1" applyFill="1" applyBorder="1" applyAlignment="1">
      <alignment horizontal="center" vertical="center"/>
    </xf>
    <xf numFmtId="0" fontId="20" fillId="2" borderId="43" xfId="3" applyNumberFormat="1" applyFont="1" applyFill="1" applyBorder="1" applyAlignment="1">
      <alignment horizontal="center" vertical="center" wrapText="1"/>
    </xf>
    <xf numFmtId="0" fontId="20" fillId="2" borderId="44" xfId="3" applyNumberFormat="1" applyFont="1" applyFill="1" applyBorder="1" applyAlignment="1">
      <alignment horizontal="center" vertical="center" wrapText="1"/>
    </xf>
    <xf numFmtId="0" fontId="20" fillId="2" borderId="45" xfId="3" applyNumberFormat="1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/>
    </xf>
    <xf numFmtId="0" fontId="14" fillId="2" borderId="30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4" fontId="20" fillId="2" borderId="56" xfId="2" applyNumberFormat="1" applyFont="1" applyFill="1" applyBorder="1" applyAlignment="1">
      <alignment horizontal="center" vertical="center" wrapText="1"/>
    </xf>
    <xf numFmtId="4" fontId="20" fillId="2" borderId="51" xfId="2" applyNumberFormat="1" applyFont="1" applyFill="1" applyBorder="1" applyAlignment="1">
      <alignment horizontal="center" vertical="center" wrapText="1"/>
    </xf>
    <xf numFmtId="4" fontId="20" fillId="2" borderId="50" xfId="2" applyNumberFormat="1" applyFont="1" applyFill="1" applyBorder="1" applyAlignment="1">
      <alignment horizontal="center" vertical="center" wrapText="1"/>
    </xf>
    <xf numFmtId="0" fontId="20" fillId="2" borderId="55" xfId="3" applyNumberFormat="1" applyFont="1" applyFill="1" applyBorder="1" applyAlignment="1">
      <alignment horizontal="center" vertical="center" wrapText="1"/>
    </xf>
    <xf numFmtId="2" fontId="25" fillId="2" borderId="51" xfId="1" applyNumberFormat="1" applyFont="1" applyFill="1" applyBorder="1" applyAlignment="1">
      <alignment horizontal="center" vertical="center"/>
    </xf>
    <xf numFmtId="0" fontId="20" fillId="2" borderId="11" xfId="2" applyFont="1" applyFill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 wrapText="1"/>
    </xf>
    <xf numFmtId="0" fontId="20" fillId="2" borderId="53" xfId="2" applyFont="1" applyFill="1" applyBorder="1" applyAlignment="1">
      <alignment horizontal="center" vertical="center" wrapText="1"/>
    </xf>
    <xf numFmtId="164" fontId="20" fillId="2" borderId="4" xfId="2" applyNumberFormat="1" applyFont="1" applyFill="1" applyBorder="1" applyAlignment="1">
      <alignment horizontal="center" vertical="center" wrapText="1"/>
    </xf>
    <xf numFmtId="164" fontId="20" fillId="2" borderId="8" xfId="2" applyNumberFormat="1" applyFont="1" applyFill="1" applyBorder="1" applyAlignment="1">
      <alignment horizontal="center" vertical="center" wrapText="1"/>
    </xf>
    <xf numFmtId="0" fontId="20" fillId="2" borderId="8" xfId="3" applyNumberFormat="1" applyFont="1" applyFill="1" applyBorder="1" applyAlignment="1">
      <alignment horizontal="center" vertical="center" wrapText="1"/>
    </xf>
    <xf numFmtId="2" fontId="25" fillId="2" borderId="8" xfId="1" applyNumberFormat="1" applyFont="1" applyFill="1" applyBorder="1" applyAlignment="1">
      <alignment horizontal="center" vertical="center"/>
    </xf>
  </cellXfs>
  <cellStyles count="14">
    <cellStyle name="Обычный" xfId="0" builtinId="0"/>
    <cellStyle name="Обычный 100 2" xfId="10"/>
    <cellStyle name="Обычный 2" xfId="1"/>
    <cellStyle name="Обычный 2 10" xfId="4"/>
    <cellStyle name="Обычный 2 2" xfId="2"/>
    <cellStyle name="Обычный 2 6 3" xfId="9"/>
    <cellStyle name="Обычный 29" xfId="5"/>
    <cellStyle name="Обычный 3" xfId="6"/>
    <cellStyle name="Обычный 4" xfId="7"/>
    <cellStyle name="Обычный 5" xfId="8"/>
    <cellStyle name="Обычный 6" xfId="11"/>
    <cellStyle name="Обычный 7" xfId="13"/>
    <cellStyle name="Обычный_Бизнес-план 2005 г. (РВК)1 экспериментальн 2 со 2 квартала_1" xfId="3"/>
    <cellStyle name="Финансовый 2" xfId="12"/>
  </cellStyles>
  <dxfs count="0"/>
  <tableStyles count="0" defaultTableStyle="TableStyleMedium2" defaultPivotStyle="PivotStyleMedium9"/>
  <colors>
    <mruColors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C000"/>
  </sheetPr>
  <dimension ref="A1:AV124"/>
  <sheetViews>
    <sheetView tabSelected="1" view="pageBreakPreview" zoomScale="80" zoomScaleNormal="89" zoomScaleSheetLayoutView="80" zoomScalePageLayoutView="40" workbookViewId="0">
      <selection activeCell="G118" sqref="G118"/>
    </sheetView>
  </sheetViews>
  <sheetFormatPr defaultColWidth="9.140625" defaultRowHeight="15" x14ac:dyDescent="0.25"/>
  <cols>
    <col min="1" max="1" width="50" style="11" customWidth="1"/>
    <col min="2" max="2" width="30.5703125" style="11" customWidth="1"/>
    <col min="3" max="3" width="26" style="11" customWidth="1"/>
    <col min="4" max="4" width="25.140625" style="11" customWidth="1"/>
    <col min="5" max="5" width="22.5703125" style="11" customWidth="1"/>
    <col min="6" max="6" width="20" style="11" customWidth="1"/>
    <col min="7" max="8" width="22.140625" style="11" customWidth="1"/>
    <col min="9" max="9" width="22.42578125" style="11" customWidth="1"/>
    <col min="10" max="10" width="20" style="45" customWidth="1"/>
    <col min="11" max="11" width="18.5703125" style="2" customWidth="1"/>
    <col min="12" max="12" width="14.28515625" style="2" customWidth="1"/>
    <col min="13" max="13" width="10.5703125" style="2" customWidth="1"/>
    <col min="14" max="14" width="11.85546875" style="2" customWidth="1"/>
    <col min="15" max="15" width="12" style="2" bestFit="1" customWidth="1"/>
    <col min="16" max="17" width="10.28515625" style="2" bestFit="1" customWidth="1"/>
    <col min="18" max="18" width="11.28515625" style="2" customWidth="1"/>
    <col min="19" max="19" width="11.5703125" style="2" customWidth="1"/>
    <col min="20" max="16384" width="9.140625" style="2"/>
  </cols>
  <sheetData>
    <row r="1" spans="1:19" x14ac:dyDescent="0.25">
      <c r="F1" s="21"/>
      <c r="G1" s="22"/>
      <c r="H1" s="23"/>
      <c r="I1" s="22"/>
      <c r="J1" s="22"/>
    </row>
    <row r="2" spans="1:19" ht="15.75" x14ac:dyDescent="0.25">
      <c r="A2" s="208" t="s">
        <v>0</v>
      </c>
      <c r="B2" s="208"/>
      <c r="C2" s="208"/>
      <c r="D2" s="208"/>
      <c r="E2" s="208"/>
      <c r="F2" s="208"/>
      <c r="G2" s="208"/>
      <c r="H2" s="208"/>
      <c r="I2" s="208"/>
      <c r="J2" s="208"/>
    </row>
    <row r="3" spans="1:19" ht="38.25" customHeight="1" x14ac:dyDescent="0.25">
      <c r="A3" s="209" t="s">
        <v>69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9" ht="15.75" x14ac:dyDescent="0.25">
      <c r="A4" s="210" t="s">
        <v>280</v>
      </c>
      <c r="B4" s="210"/>
      <c r="C4" s="210"/>
      <c r="D4" s="210"/>
      <c r="E4" s="210"/>
      <c r="F4" s="210"/>
      <c r="G4" s="210"/>
      <c r="H4" s="210"/>
      <c r="I4" s="210"/>
      <c r="J4" s="210"/>
      <c r="K4" s="4"/>
    </row>
    <row r="5" spans="1:19" ht="16.5" thickBot="1" x14ac:dyDescent="0.3">
      <c r="A5" s="139"/>
      <c r="B5" s="139"/>
      <c r="C5" s="139"/>
      <c r="D5" s="139"/>
      <c r="E5" s="139"/>
      <c r="F5" s="139"/>
      <c r="G5" s="139"/>
      <c r="H5" s="139"/>
      <c r="I5" s="139"/>
      <c r="J5" s="24"/>
      <c r="K5" s="6"/>
    </row>
    <row r="6" spans="1:19" ht="15.75" customHeight="1" x14ac:dyDescent="0.25">
      <c r="A6" s="211" t="s">
        <v>1</v>
      </c>
      <c r="B6" s="213" t="s">
        <v>2</v>
      </c>
      <c r="C6" s="214"/>
      <c r="D6" s="215" t="s">
        <v>3</v>
      </c>
      <c r="E6" s="215" t="s">
        <v>4</v>
      </c>
      <c r="F6" s="217" t="s">
        <v>5</v>
      </c>
      <c r="G6" s="218"/>
      <c r="H6" s="215" t="s">
        <v>6</v>
      </c>
      <c r="I6" s="213" t="s">
        <v>7</v>
      </c>
      <c r="J6" s="219"/>
    </row>
    <row r="7" spans="1:19" ht="90.75" customHeight="1" thickBot="1" x14ac:dyDescent="0.3">
      <c r="A7" s="212"/>
      <c r="B7" s="25" t="s">
        <v>8</v>
      </c>
      <c r="C7" s="25" t="s">
        <v>9</v>
      </c>
      <c r="D7" s="216"/>
      <c r="E7" s="216"/>
      <c r="F7" s="26" t="s">
        <v>10</v>
      </c>
      <c r="G7" s="25" t="s">
        <v>11</v>
      </c>
      <c r="H7" s="216"/>
      <c r="I7" s="26" t="s">
        <v>10</v>
      </c>
      <c r="J7" s="27" t="s">
        <v>11</v>
      </c>
      <c r="K7" s="6"/>
    </row>
    <row r="8" spans="1:19" ht="16.5" thickBot="1" x14ac:dyDescent="0.3">
      <c r="A8" s="226" t="s">
        <v>12</v>
      </c>
      <c r="B8" s="227"/>
      <c r="C8" s="227"/>
      <c r="D8" s="227"/>
      <c r="E8" s="227"/>
      <c r="F8" s="227"/>
      <c r="G8" s="227"/>
      <c r="H8" s="227"/>
      <c r="I8" s="227"/>
      <c r="J8" s="228"/>
      <c r="K8" s="4"/>
    </row>
    <row r="9" spans="1:19" ht="48.75" customHeight="1" x14ac:dyDescent="0.25">
      <c r="A9" s="233" t="s">
        <v>105</v>
      </c>
      <c r="B9" s="74" t="s">
        <v>107</v>
      </c>
      <c r="C9" s="74" t="s">
        <v>108</v>
      </c>
      <c r="D9" s="55">
        <f>12567790.39/1000</f>
        <v>12567.79039</v>
      </c>
      <c r="E9" s="55">
        <f t="shared" ref="E9:E14" si="0">G9</f>
        <v>617.94895999999994</v>
      </c>
      <c r="F9" s="12" t="s">
        <v>147</v>
      </c>
      <c r="G9" s="55">
        <f>617948.96/1000</f>
        <v>617.94895999999994</v>
      </c>
      <c r="H9" s="72"/>
      <c r="I9" s="12"/>
      <c r="J9" s="13"/>
      <c r="K9" s="69"/>
      <c r="L9" s="49"/>
    </row>
    <row r="10" spans="1:19" ht="44.25" customHeight="1" thickBot="1" x14ac:dyDescent="0.3">
      <c r="A10" s="235"/>
      <c r="B10" s="188" t="s">
        <v>264</v>
      </c>
      <c r="C10" s="189"/>
      <c r="D10" s="190"/>
      <c r="E10" s="131">
        <f t="shared" si="0"/>
        <v>-9.2032670957444775</v>
      </c>
      <c r="F10" s="77" t="s">
        <v>279</v>
      </c>
      <c r="G10" s="131">
        <v>-9.2032670957444775</v>
      </c>
      <c r="H10" s="145"/>
      <c r="I10" s="77"/>
      <c r="J10" s="73"/>
      <c r="K10" s="69"/>
      <c r="L10" s="49"/>
    </row>
    <row r="11" spans="1:19" ht="54" customHeight="1" x14ac:dyDescent="0.25">
      <c r="A11" s="233" t="s">
        <v>106</v>
      </c>
      <c r="B11" s="74" t="s">
        <v>107</v>
      </c>
      <c r="C11" s="74" t="s">
        <v>109</v>
      </c>
      <c r="D11" s="55">
        <f>9507666.77/1000</f>
        <v>9507.6667699999998</v>
      </c>
      <c r="E11" s="55">
        <f t="shared" si="0"/>
        <v>816.90065000000004</v>
      </c>
      <c r="F11" s="12" t="s">
        <v>135</v>
      </c>
      <c r="G11" s="55">
        <f>816900.65/1000</f>
        <v>816.90065000000004</v>
      </c>
      <c r="H11" s="72"/>
      <c r="I11" s="12"/>
      <c r="J11" s="13"/>
      <c r="K11" s="51"/>
      <c r="L11" s="49"/>
    </row>
    <row r="12" spans="1:19" ht="51" customHeight="1" thickBot="1" x14ac:dyDescent="0.3">
      <c r="A12" s="235"/>
      <c r="B12" s="188" t="s">
        <v>264</v>
      </c>
      <c r="C12" s="189"/>
      <c r="D12" s="190"/>
      <c r="E12" s="131">
        <f t="shared" si="0"/>
        <v>-2589.7431029042541</v>
      </c>
      <c r="F12" s="77" t="s">
        <v>279</v>
      </c>
      <c r="G12" s="131">
        <v>-2589.7431029042541</v>
      </c>
      <c r="H12" s="145"/>
      <c r="I12" s="77"/>
      <c r="J12" s="73"/>
      <c r="K12" s="51"/>
      <c r="L12" s="49"/>
    </row>
    <row r="13" spans="1:19" ht="49.5" customHeight="1" x14ac:dyDescent="0.25">
      <c r="A13" s="233" t="s">
        <v>52</v>
      </c>
      <c r="B13" s="74" t="s">
        <v>53</v>
      </c>
      <c r="C13" s="74" t="s">
        <v>58</v>
      </c>
      <c r="D13" s="55">
        <v>971</v>
      </c>
      <c r="E13" s="55">
        <f t="shared" si="0"/>
        <v>971</v>
      </c>
      <c r="F13" s="12" t="s">
        <v>78</v>
      </c>
      <c r="G13" s="55">
        <f>971000/1000</f>
        <v>971</v>
      </c>
      <c r="H13" s="72"/>
      <c r="I13" s="12"/>
      <c r="J13" s="13"/>
      <c r="K13" s="49"/>
      <c r="L13" s="49"/>
      <c r="M13" s="49"/>
      <c r="N13" s="51"/>
      <c r="O13" s="51"/>
      <c r="P13" s="51"/>
      <c r="Q13" s="49"/>
      <c r="R13" s="49"/>
      <c r="S13" s="49"/>
    </row>
    <row r="14" spans="1:19" ht="49.5" customHeight="1" x14ac:dyDescent="0.25">
      <c r="A14" s="234"/>
      <c r="B14" s="138" t="s">
        <v>99</v>
      </c>
      <c r="C14" s="138" t="s">
        <v>100</v>
      </c>
      <c r="D14" s="54">
        <v>83</v>
      </c>
      <c r="E14" s="54">
        <f t="shared" si="0"/>
        <v>83</v>
      </c>
      <c r="F14" s="58" t="s">
        <v>101</v>
      </c>
      <c r="G14" s="54">
        <f>83000/1000</f>
        <v>83</v>
      </c>
      <c r="H14" s="54">
        <f>J14</f>
        <v>83</v>
      </c>
      <c r="I14" s="58" t="s">
        <v>142</v>
      </c>
      <c r="J14" s="59">
        <f>83000/1000</f>
        <v>83</v>
      </c>
      <c r="K14" s="49"/>
      <c r="L14" s="49"/>
      <c r="M14" s="49"/>
      <c r="N14" s="51"/>
      <c r="O14" s="51"/>
      <c r="P14" s="51"/>
      <c r="Q14" s="49"/>
      <c r="R14" s="49"/>
      <c r="S14" s="49"/>
    </row>
    <row r="15" spans="1:19" ht="49.5" customHeight="1" x14ac:dyDescent="0.25">
      <c r="A15" s="234"/>
      <c r="B15" s="138" t="s">
        <v>139</v>
      </c>
      <c r="C15" s="138" t="s">
        <v>138</v>
      </c>
      <c r="D15" s="54">
        <f>6869857.79/1000</f>
        <v>6869.85779</v>
      </c>
      <c r="E15" s="54"/>
      <c r="F15" s="58"/>
      <c r="G15" s="54"/>
      <c r="H15" s="54">
        <f>J15</f>
        <v>2060.9573399999999</v>
      </c>
      <c r="I15" s="58" t="s">
        <v>153</v>
      </c>
      <c r="J15" s="59">
        <f>1717464.45*1.2/1000</f>
        <v>2060.9573399999999</v>
      </c>
      <c r="K15" s="49"/>
      <c r="L15" s="49"/>
      <c r="M15" s="49"/>
      <c r="N15" s="51"/>
      <c r="O15" s="51"/>
      <c r="P15" s="51"/>
      <c r="Q15" s="49"/>
      <c r="R15" s="49"/>
      <c r="S15" s="49"/>
    </row>
    <row r="16" spans="1:19" ht="49.5" customHeight="1" x14ac:dyDescent="0.25">
      <c r="A16" s="234"/>
      <c r="B16" s="180" t="s">
        <v>159</v>
      </c>
      <c r="C16" s="180" t="s">
        <v>160</v>
      </c>
      <c r="D16" s="232">
        <f>4452500/1000</f>
        <v>4452.5</v>
      </c>
      <c r="E16" s="54">
        <f>G16</f>
        <v>2132.3102699999999</v>
      </c>
      <c r="F16" s="58" t="s">
        <v>161</v>
      </c>
      <c r="G16" s="54">
        <f>2132310.27/1000</f>
        <v>2132.3102699999999</v>
      </c>
      <c r="H16" s="129"/>
      <c r="I16" s="134"/>
      <c r="J16" s="56"/>
      <c r="K16" s="49"/>
      <c r="L16" s="49"/>
      <c r="M16" s="49"/>
      <c r="N16" s="51"/>
      <c r="O16" s="51"/>
      <c r="P16" s="51"/>
      <c r="Q16" s="49"/>
      <c r="R16" s="49"/>
      <c r="S16" s="49"/>
    </row>
    <row r="17" spans="1:19" ht="49.5" customHeight="1" x14ac:dyDescent="0.25">
      <c r="A17" s="234"/>
      <c r="B17" s="184"/>
      <c r="C17" s="184"/>
      <c r="D17" s="187"/>
      <c r="E17" s="133">
        <f>G17</f>
        <v>1000</v>
      </c>
      <c r="F17" s="136" t="s">
        <v>164</v>
      </c>
      <c r="G17" s="133">
        <v>1000</v>
      </c>
      <c r="H17" s="133"/>
      <c r="I17" s="136"/>
      <c r="J17" s="57"/>
      <c r="K17" s="49"/>
      <c r="L17" s="49"/>
      <c r="M17" s="49"/>
      <c r="N17" s="51"/>
      <c r="O17" s="51"/>
      <c r="P17" s="51"/>
      <c r="Q17" s="49"/>
      <c r="R17" s="49"/>
      <c r="S17" s="49"/>
    </row>
    <row r="18" spans="1:19" ht="49.5" customHeight="1" x14ac:dyDescent="0.25">
      <c r="A18" s="234"/>
      <c r="B18" s="180" t="s">
        <v>189</v>
      </c>
      <c r="C18" s="180" t="s">
        <v>190</v>
      </c>
      <c r="D18" s="232">
        <v>16019.5</v>
      </c>
      <c r="E18" s="54"/>
      <c r="F18" s="58"/>
      <c r="G18" s="54"/>
      <c r="H18" s="54">
        <f t="shared" ref="H18:H24" si="1">J18</f>
        <v>1473.5571359999999</v>
      </c>
      <c r="I18" s="58" t="s">
        <v>246</v>
      </c>
      <c r="J18" s="59">
        <f>1227964.28*1.2/1000</f>
        <v>1473.5571359999999</v>
      </c>
      <c r="K18" s="49"/>
      <c r="L18" s="49"/>
      <c r="M18" s="49"/>
      <c r="N18" s="51"/>
      <c r="O18" s="51"/>
      <c r="P18" s="51"/>
      <c r="Q18" s="49"/>
      <c r="R18" s="49"/>
      <c r="S18" s="49"/>
    </row>
    <row r="19" spans="1:19" ht="49.5" customHeight="1" x14ac:dyDescent="0.25">
      <c r="A19" s="234"/>
      <c r="B19" s="181"/>
      <c r="C19" s="181"/>
      <c r="D19" s="186"/>
      <c r="E19" s="133"/>
      <c r="F19" s="136"/>
      <c r="G19" s="133"/>
      <c r="H19" s="133">
        <f t="shared" si="1"/>
        <v>6057.2413799999995</v>
      </c>
      <c r="I19" s="136" t="s">
        <v>345</v>
      </c>
      <c r="J19" s="57">
        <f>5047701.15*1.2/1000</f>
        <v>6057.2413799999995</v>
      </c>
      <c r="K19" s="49"/>
      <c r="L19" s="49"/>
      <c r="M19" s="49"/>
      <c r="N19" s="51"/>
      <c r="O19" s="51"/>
      <c r="P19" s="51"/>
      <c r="Q19" s="49"/>
      <c r="R19" s="49"/>
      <c r="S19" s="49"/>
    </row>
    <row r="20" spans="1:19" ht="33.75" customHeight="1" x14ac:dyDescent="0.25">
      <c r="A20" s="234"/>
      <c r="B20" s="181"/>
      <c r="C20" s="181"/>
      <c r="D20" s="186"/>
      <c r="E20" s="133"/>
      <c r="F20" s="136"/>
      <c r="G20" s="133"/>
      <c r="H20" s="133">
        <f t="shared" si="1"/>
        <v>888.14700000000005</v>
      </c>
      <c r="I20" s="136" t="s">
        <v>361</v>
      </c>
      <c r="J20" s="57">
        <f>740122.5*1.2/1000</f>
        <v>888.14700000000005</v>
      </c>
      <c r="K20" s="49"/>
      <c r="L20" s="49"/>
      <c r="M20" s="49"/>
      <c r="N20" s="51"/>
      <c r="O20" s="51"/>
      <c r="P20" s="51"/>
      <c r="Q20" s="49"/>
      <c r="R20" s="49"/>
      <c r="S20" s="49"/>
    </row>
    <row r="21" spans="1:19" ht="33.75" customHeight="1" x14ac:dyDescent="0.25">
      <c r="A21" s="234"/>
      <c r="B21" s="184"/>
      <c r="C21" s="184"/>
      <c r="D21" s="187"/>
      <c r="E21" s="133"/>
      <c r="F21" s="136"/>
      <c r="G21" s="133"/>
      <c r="H21" s="133">
        <f>J21</f>
        <v>2649.7468799999997</v>
      </c>
      <c r="I21" s="136" t="s">
        <v>349</v>
      </c>
      <c r="J21" s="57">
        <f>2208122.4*1.2/1000</f>
        <v>2649.7468799999997</v>
      </c>
      <c r="K21" s="49"/>
      <c r="L21" s="49"/>
      <c r="M21" s="49"/>
      <c r="N21" s="51"/>
      <c r="O21" s="51"/>
      <c r="P21" s="51"/>
      <c r="Q21" s="49"/>
      <c r="R21" s="49"/>
      <c r="S21" s="49"/>
    </row>
    <row r="22" spans="1:19" ht="38.25" customHeight="1" x14ac:dyDescent="0.25">
      <c r="A22" s="234"/>
      <c r="B22" s="180" t="s">
        <v>242</v>
      </c>
      <c r="C22" s="180" t="s">
        <v>243</v>
      </c>
      <c r="D22" s="232">
        <f>8600000/1000</f>
        <v>8600</v>
      </c>
      <c r="E22" s="133"/>
      <c r="F22" s="136"/>
      <c r="G22" s="133"/>
      <c r="H22" s="133">
        <f t="shared" si="1"/>
        <v>1713.3929639999999</v>
      </c>
      <c r="I22" s="136" t="s">
        <v>255</v>
      </c>
      <c r="J22" s="57">
        <f>1427827.47*1.2/1000</f>
        <v>1713.3929639999999</v>
      </c>
      <c r="K22" s="49"/>
      <c r="L22" s="49"/>
      <c r="M22" s="49"/>
      <c r="N22" s="51"/>
      <c r="O22" s="51"/>
      <c r="P22" s="51"/>
      <c r="Q22" s="49"/>
      <c r="R22" s="49"/>
      <c r="S22" s="49"/>
    </row>
    <row r="23" spans="1:19" ht="37.5" customHeight="1" x14ac:dyDescent="0.25">
      <c r="A23" s="234"/>
      <c r="B23" s="181"/>
      <c r="C23" s="181"/>
      <c r="D23" s="186"/>
      <c r="E23" s="133"/>
      <c r="F23" s="136"/>
      <c r="G23" s="133"/>
      <c r="H23" s="133">
        <f t="shared" si="1"/>
        <v>786.70894799999996</v>
      </c>
      <c r="I23" s="136" t="s">
        <v>256</v>
      </c>
      <c r="J23" s="57">
        <f>655590.79*1.2/1000</f>
        <v>786.70894799999996</v>
      </c>
      <c r="K23" s="49"/>
      <c r="L23" s="49"/>
      <c r="M23" s="49"/>
      <c r="N23" s="51"/>
      <c r="O23" s="51"/>
      <c r="P23" s="51"/>
      <c r="Q23" s="49"/>
      <c r="R23" s="49"/>
      <c r="S23" s="49"/>
    </row>
    <row r="24" spans="1:19" ht="37.5" customHeight="1" thickBot="1" x14ac:dyDescent="0.3">
      <c r="A24" s="235"/>
      <c r="B24" s="182"/>
      <c r="C24" s="182"/>
      <c r="D24" s="237"/>
      <c r="E24" s="133"/>
      <c r="F24" s="136"/>
      <c r="G24" s="133"/>
      <c r="H24" s="133">
        <f t="shared" si="1"/>
        <v>2779.9593719999998</v>
      </c>
      <c r="I24" s="136" t="s">
        <v>362</v>
      </c>
      <c r="J24" s="57">
        <f>2316632.81*1.2/1000</f>
        <v>2779.9593719999998</v>
      </c>
      <c r="K24" s="49"/>
      <c r="L24" s="49"/>
      <c r="M24" s="49"/>
      <c r="N24" s="51"/>
      <c r="O24" s="51"/>
      <c r="P24" s="51"/>
      <c r="Q24" s="49"/>
      <c r="R24" s="49"/>
      <c r="S24" s="49"/>
    </row>
    <row r="25" spans="1:19" ht="36.75" customHeight="1" x14ac:dyDescent="0.25">
      <c r="A25" s="233" t="s">
        <v>42</v>
      </c>
      <c r="B25" s="183" t="s">
        <v>44</v>
      </c>
      <c r="C25" s="183" t="s">
        <v>45</v>
      </c>
      <c r="D25" s="185">
        <f>10481420/1000</f>
        <v>10481.42</v>
      </c>
      <c r="E25" s="55">
        <f t="shared" ref="E25:E30" si="2">G25</f>
        <v>4374.3779999999997</v>
      </c>
      <c r="F25" s="12" t="s">
        <v>75</v>
      </c>
      <c r="G25" s="55">
        <f>4374378/1000</f>
        <v>4374.3779999999997</v>
      </c>
      <c r="H25" s="55"/>
      <c r="I25" s="12"/>
      <c r="J25" s="13"/>
      <c r="K25" s="49"/>
      <c r="L25" s="49"/>
      <c r="M25" s="49"/>
      <c r="N25" s="51"/>
      <c r="O25" s="51"/>
      <c r="P25" s="51"/>
      <c r="Q25" s="49"/>
      <c r="R25" s="49"/>
      <c r="S25" s="49"/>
    </row>
    <row r="26" spans="1:19" ht="36.75" customHeight="1" x14ac:dyDescent="0.25">
      <c r="A26" s="234"/>
      <c r="B26" s="184"/>
      <c r="C26" s="184"/>
      <c r="D26" s="187"/>
      <c r="E26" s="133">
        <f>G26</f>
        <v>486.04199999999997</v>
      </c>
      <c r="F26" s="136" t="s">
        <v>301</v>
      </c>
      <c r="G26" s="133">
        <f>486042/1000</f>
        <v>486.04199999999997</v>
      </c>
      <c r="H26" s="133"/>
      <c r="I26" s="136"/>
      <c r="J26" s="57"/>
      <c r="K26" s="49"/>
      <c r="L26" s="49"/>
      <c r="M26" s="49"/>
      <c r="N26" s="51"/>
      <c r="O26" s="51"/>
      <c r="P26" s="51"/>
      <c r="Q26" s="49"/>
      <c r="R26" s="49"/>
      <c r="S26" s="49"/>
    </row>
    <row r="27" spans="1:19" ht="49.5" customHeight="1" x14ac:dyDescent="0.25">
      <c r="A27" s="234"/>
      <c r="B27" s="126" t="s">
        <v>49</v>
      </c>
      <c r="C27" s="126" t="s">
        <v>48</v>
      </c>
      <c r="D27" s="129">
        <f>1979979/1000</f>
        <v>1979.979</v>
      </c>
      <c r="E27" s="54">
        <f t="shared" si="2"/>
        <v>99.073990000000009</v>
      </c>
      <c r="F27" s="58" t="s">
        <v>82</v>
      </c>
      <c r="G27" s="54">
        <f>99073.99/1000</f>
        <v>99.073990000000009</v>
      </c>
      <c r="H27" s="54"/>
      <c r="I27" s="58"/>
      <c r="J27" s="59"/>
      <c r="K27" s="49"/>
      <c r="L27" s="49"/>
      <c r="M27" s="49"/>
      <c r="N27" s="51"/>
      <c r="O27" s="51"/>
      <c r="P27" s="51"/>
      <c r="Q27" s="49"/>
      <c r="R27" s="49"/>
      <c r="S27" s="49"/>
    </row>
    <row r="28" spans="1:19" ht="19.5" customHeight="1" x14ac:dyDescent="0.25">
      <c r="A28" s="234"/>
      <c r="B28" s="180" t="s">
        <v>37</v>
      </c>
      <c r="C28" s="180" t="s">
        <v>39</v>
      </c>
      <c r="D28" s="78"/>
      <c r="E28" s="54">
        <f t="shared" si="2"/>
        <v>61.1393518</v>
      </c>
      <c r="F28" s="229" t="s">
        <v>157</v>
      </c>
      <c r="G28" s="129">
        <f>51813.01*1.18/1000</f>
        <v>61.1393518</v>
      </c>
      <c r="H28" s="79"/>
      <c r="I28" s="80"/>
      <c r="J28" s="56"/>
      <c r="K28" s="49"/>
      <c r="L28" s="49"/>
      <c r="M28" s="49"/>
      <c r="N28" s="51"/>
      <c r="O28" s="51"/>
      <c r="P28" s="51"/>
      <c r="Q28" s="49"/>
      <c r="R28" s="49"/>
      <c r="S28" s="49"/>
    </row>
    <row r="29" spans="1:19" ht="21.75" customHeight="1" x14ac:dyDescent="0.25">
      <c r="A29" s="234"/>
      <c r="B29" s="181"/>
      <c r="C29" s="181"/>
      <c r="D29" s="81"/>
      <c r="E29" s="54">
        <f t="shared" si="2"/>
        <v>161.00376659999998</v>
      </c>
      <c r="F29" s="230"/>
      <c r="G29" s="54">
        <f>136443.87*1.18/1000</f>
        <v>161.00376659999998</v>
      </c>
      <c r="H29" s="82"/>
      <c r="I29" s="83"/>
      <c r="J29" s="59"/>
      <c r="K29" s="49"/>
      <c r="L29" s="49"/>
      <c r="M29" s="49"/>
      <c r="N29" s="51"/>
      <c r="O29" s="51"/>
      <c r="P29" s="51"/>
      <c r="Q29" s="49"/>
      <c r="R29" s="49"/>
      <c r="S29" s="49"/>
    </row>
    <row r="30" spans="1:19" ht="22.5" customHeight="1" x14ac:dyDescent="0.25">
      <c r="A30" s="234"/>
      <c r="B30" s="184"/>
      <c r="C30" s="184"/>
      <c r="D30" s="81"/>
      <c r="E30" s="54">
        <f t="shared" si="2"/>
        <v>30.620646000000001</v>
      </c>
      <c r="F30" s="231"/>
      <c r="G30" s="129">
        <f>25949.7*1.18/1000</f>
        <v>30.620646000000001</v>
      </c>
      <c r="H30" s="133"/>
      <c r="I30" s="134"/>
      <c r="J30" s="59"/>
      <c r="K30" s="49"/>
      <c r="L30" s="49"/>
      <c r="M30" s="49"/>
      <c r="N30" s="51"/>
      <c r="O30" s="51"/>
      <c r="P30" s="51"/>
      <c r="Q30" s="49"/>
      <c r="R30" s="49"/>
      <c r="S30" s="49"/>
    </row>
    <row r="31" spans="1:19" ht="30" customHeight="1" x14ac:dyDescent="0.25">
      <c r="A31" s="234"/>
      <c r="B31" s="180" t="s">
        <v>54</v>
      </c>
      <c r="C31" s="180" t="s">
        <v>55</v>
      </c>
      <c r="D31" s="232">
        <f>681115/1000</f>
        <v>681.11500000000001</v>
      </c>
      <c r="E31" s="129">
        <f>G31</f>
        <v>449.41239000000002</v>
      </c>
      <c r="F31" s="134" t="s">
        <v>71</v>
      </c>
      <c r="G31" s="129">
        <f>449412.39/1000</f>
        <v>449.41239000000002</v>
      </c>
      <c r="H31" s="129">
        <f>J31</f>
        <v>57.128687999999997</v>
      </c>
      <c r="I31" s="134" t="s">
        <v>143</v>
      </c>
      <c r="J31" s="59">
        <f>47607.24*1.2/1000</f>
        <v>57.128687999999997</v>
      </c>
      <c r="K31" s="49"/>
      <c r="L31" s="49"/>
      <c r="M31" s="49"/>
      <c r="N31" s="51"/>
      <c r="O31" s="51"/>
      <c r="P31" s="51"/>
      <c r="Q31" s="49"/>
      <c r="R31" s="49"/>
      <c r="S31" s="49"/>
    </row>
    <row r="32" spans="1:19" ht="30" customHeight="1" x14ac:dyDescent="0.25">
      <c r="A32" s="234"/>
      <c r="B32" s="181"/>
      <c r="C32" s="181"/>
      <c r="D32" s="186"/>
      <c r="E32" s="129">
        <f>G32</f>
        <v>57.128689999999999</v>
      </c>
      <c r="F32" s="134" t="s">
        <v>126</v>
      </c>
      <c r="G32" s="129">
        <f>57128.69/1000</f>
        <v>57.128689999999999</v>
      </c>
      <c r="H32" s="129"/>
      <c r="I32" s="134"/>
      <c r="J32" s="59"/>
      <c r="K32" s="49"/>
      <c r="L32" s="49"/>
      <c r="M32" s="49"/>
      <c r="N32" s="51"/>
      <c r="O32" s="51"/>
      <c r="P32" s="51"/>
      <c r="Q32" s="49"/>
      <c r="R32" s="49"/>
      <c r="S32" s="49"/>
    </row>
    <row r="33" spans="1:48" ht="30" customHeight="1" x14ac:dyDescent="0.25">
      <c r="A33" s="234"/>
      <c r="B33" s="184"/>
      <c r="C33" s="184"/>
      <c r="D33" s="187"/>
      <c r="E33" s="129">
        <f>G33</f>
        <v>260.60631999999998</v>
      </c>
      <c r="F33" s="134" t="s">
        <v>282</v>
      </c>
      <c r="G33" s="129">
        <f>260606.32/1000</f>
        <v>260.60631999999998</v>
      </c>
      <c r="H33" s="129"/>
      <c r="I33" s="134"/>
      <c r="J33" s="56"/>
      <c r="K33" s="49"/>
      <c r="L33" s="49"/>
      <c r="M33" s="49"/>
      <c r="N33" s="51"/>
      <c r="O33" s="51"/>
      <c r="P33" s="51"/>
      <c r="Q33" s="49"/>
      <c r="R33" s="49"/>
      <c r="S33" s="49"/>
    </row>
    <row r="34" spans="1:48" ht="30" customHeight="1" thickBot="1" x14ac:dyDescent="0.3">
      <c r="A34" s="235"/>
      <c r="B34" s="236" t="s">
        <v>104</v>
      </c>
      <c r="C34" s="236"/>
      <c r="D34" s="236"/>
      <c r="E34" s="84"/>
      <c r="F34" s="84"/>
      <c r="G34" s="84"/>
      <c r="H34" s="85">
        <f>J34</f>
        <v>34.929887999999998</v>
      </c>
      <c r="I34" s="86" t="s">
        <v>13</v>
      </c>
      <c r="J34" s="87">
        <f>29601.6*1.18/1000</f>
        <v>34.929887999999998</v>
      </c>
      <c r="K34" s="68"/>
      <c r="L34" s="49"/>
      <c r="M34" s="49"/>
      <c r="N34" s="51"/>
      <c r="O34" s="51"/>
      <c r="P34" s="51"/>
      <c r="Q34" s="49"/>
      <c r="R34" s="49"/>
      <c r="S34" s="49"/>
    </row>
    <row r="35" spans="1:48" s="3" customFormat="1" ht="15.75" thickBot="1" x14ac:dyDescent="0.3">
      <c r="A35" s="16" t="s">
        <v>14</v>
      </c>
      <c r="B35" s="31"/>
      <c r="C35" s="32"/>
      <c r="D35" s="30"/>
      <c r="E35" s="33">
        <f>SUM(E9:E34)</f>
        <v>9001.6186644000009</v>
      </c>
      <c r="F35" s="33"/>
      <c r="G35" s="33">
        <f>SUM(G9:G34)</f>
        <v>9001.6186644000009</v>
      </c>
      <c r="H35" s="33">
        <f>SUM(H9:H34)</f>
        <v>18584.769595999998</v>
      </c>
      <c r="I35" s="33"/>
      <c r="J35" s="34">
        <f>SUM(J9:J34)</f>
        <v>18584.769595999998</v>
      </c>
      <c r="K35" s="11"/>
      <c r="L35" s="11"/>
      <c r="M35" s="11"/>
      <c r="N35" s="11"/>
      <c r="O35" s="11"/>
      <c r="P35" s="11"/>
      <c r="Q35" s="11"/>
      <c r="R35" s="11"/>
      <c r="S35" s="11"/>
    </row>
    <row r="36" spans="1:48" s="3" customFormat="1" ht="30.75" thickBot="1" x14ac:dyDescent="0.3">
      <c r="A36" s="17" t="s">
        <v>15</v>
      </c>
      <c r="B36" s="35"/>
      <c r="C36" s="35"/>
      <c r="D36" s="35"/>
      <c r="E36" s="33">
        <f>G36</f>
        <v>1845.5673345889431</v>
      </c>
      <c r="F36" s="30"/>
      <c r="G36" s="33">
        <f>263.652476369849*7</f>
        <v>1845.5673345889431</v>
      </c>
      <c r="H36" s="33">
        <f>J36</f>
        <v>1845.5673345889431</v>
      </c>
      <c r="I36" s="30"/>
      <c r="J36" s="34">
        <f>263.652476369849*7</f>
        <v>1845.5673345889431</v>
      </c>
      <c r="K36" s="11"/>
      <c r="L36" s="11"/>
      <c r="M36" s="11"/>
      <c r="N36" s="11"/>
      <c r="O36" s="11"/>
      <c r="P36" s="11"/>
      <c r="Q36" s="11"/>
      <c r="R36" s="11"/>
      <c r="S36" s="11"/>
    </row>
    <row r="37" spans="1:48" s="3" customFormat="1" ht="33" customHeight="1" thickBot="1" x14ac:dyDescent="0.3">
      <c r="A37" s="17" t="s">
        <v>16</v>
      </c>
      <c r="B37" s="35"/>
      <c r="C37" s="35"/>
      <c r="D37" s="35"/>
      <c r="E37" s="33">
        <f>E35+E36</f>
        <v>10847.185998988944</v>
      </c>
      <c r="F37" s="30"/>
      <c r="G37" s="33">
        <f>G35+G36</f>
        <v>10847.185998988944</v>
      </c>
      <c r="H37" s="33">
        <f>H35+H36</f>
        <v>20430.336930588943</v>
      </c>
      <c r="I37" s="30"/>
      <c r="J37" s="34">
        <f>J35+J36</f>
        <v>20430.336930588943</v>
      </c>
      <c r="K37" s="14"/>
      <c r="L37" s="11"/>
      <c r="M37" s="11"/>
      <c r="N37" s="11"/>
      <c r="O37" s="11"/>
      <c r="P37" s="14"/>
      <c r="Q37" s="14"/>
      <c r="R37" s="11"/>
      <c r="S37" s="11"/>
    </row>
    <row r="38" spans="1:48" s="3" customFormat="1" ht="15.75" thickBot="1" x14ac:dyDescent="0.3">
      <c r="A38" s="177" t="s">
        <v>17</v>
      </c>
      <c r="B38" s="178"/>
      <c r="C38" s="178"/>
      <c r="D38" s="178"/>
      <c r="E38" s="178"/>
      <c r="F38" s="178"/>
      <c r="G38" s="178"/>
      <c r="H38" s="178"/>
      <c r="I38" s="178"/>
      <c r="J38" s="179"/>
      <c r="K38" s="11"/>
      <c r="L38" s="14"/>
      <c r="M38" s="11"/>
      <c r="N38" s="11"/>
      <c r="O38" s="11"/>
      <c r="P38" s="14"/>
      <c r="Q38" s="14"/>
      <c r="R38" s="11"/>
      <c r="S38" s="11"/>
    </row>
    <row r="39" spans="1:48" s="3" customFormat="1" ht="42.75" customHeight="1" x14ac:dyDescent="0.25">
      <c r="A39" s="175" t="s">
        <v>36</v>
      </c>
      <c r="B39" s="183" t="s">
        <v>46</v>
      </c>
      <c r="C39" s="183" t="s">
        <v>43</v>
      </c>
      <c r="D39" s="185"/>
      <c r="E39" s="55">
        <f t="shared" ref="E39:E47" si="3">G39</f>
        <v>945.91641000000004</v>
      </c>
      <c r="F39" s="55" t="s">
        <v>76</v>
      </c>
      <c r="G39" s="55">
        <f>945916.41/1000</f>
        <v>945.91641000000004</v>
      </c>
      <c r="H39" s="55">
        <f>J39</f>
        <v>1834.2389760000001</v>
      </c>
      <c r="I39" s="99" t="s">
        <v>185</v>
      </c>
      <c r="J39" s="13">
        <f>1528532.48*1.2/1000</f>
        <v>1834.2389760000001</v>
      </c>
      <c r="K39" s="11"/>
      <c r="L39" s="14"/>
      <c r="M39" s="11"/>
      <c r="N39" s="11"/>
      <c r="O39" s="11"/>
      <c r="P39" s="11"/>
      <c r="Q39" s="11"/>
      <c r="R39" s="11"/>
      <c r="S39" s="1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</row>
    <row r="40" spans="1:48" s="3" customFormat="1" ht="27.75" customHeight="1" x14ac:dyDescent="0.25">
      <c r="A40" s="196"/>
      <c r="B40" s="181"/>
      <c r="C40" s="181"/>
      <c r="D40" s="186"/>
      <c r="E40" s="54">
        <f t="shared" si="3"/>
        <v>5511.4848200000006</v>
      </c>
      <c r="F40" s="54" t="s">
        <v>77</v>
      </c>
      <c r="G40" s="54">
        <f>5511484.82/1000</f>
        <v>5511.4848200000006</v>
      </c>
      <c r="H40" s="54"/>
      <c r="I40" s="15"/>
      <c r="J40" s="59"/>
      <c r="K40" s="11"/>
      <c r="L40" s="14"/>
      <c r="M40" s="11"/>
      <c r="N40" s="11"/>
      <c r="O40" s="11"/>
      <c r="P40" s="11"/>
      <c r="Q40" s="11"/>
      <c r="R40" s="11"/>
      <c r="S40" s="1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</row>
    <row r="41" spans="1:48" s="3" customFormat="1" ht="27.75" customHeight="1" x14ac:dyDescent="0.25">
      <c r="A41" s="196"/>
      <c r="B41" s="181"/>
      <c r="C41" s="181"/>
      <c r="D41" s="186"/>
      <c r="E41" s="54">
        <f t="shared" si="3"/>
        <v>5000</v>
      </c>
      <c r="F41" s="54" t="s">
        <v>88</v>
      </c>
      <c r="G41" s="54">
        <f>5000000/1000</f>
        <v>5000</v>
      </c>
      <c r="H41" s="54"/>
      <c r="I41" s="15"/>
      <c r="J41" s="59"/>
      <c r="K41" s="11"/>
      <c r="L41" s="14"/>
      <c r="M41" s="11"/>
      <c r="N41" s="11"/>
      <c r="O41" s="11"/>
      <c r="P41" s="11"/>
      <c r="Q41" s="11"/>
      <c r="R41" s="11"/>
      <c r="S41" s="1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</row>
    <row r="42" spans="1:48" s="3" customFormat="1" ht="27.75" customHeight="1" x14ac:dyDescent="0.25">
      <c r="A42" s="196"/>
      <c r="B42" s="181"/>
      <c r="C42" s="181"/>
      <c r="D42" s="186"/>
      <c r="E42" s="54">
        <f t="shared" si="3"/>
        <v>3376.1023300000002</v>
      </c>
      <c r="F42" s="54" t="s">
        <v>89</v>
      </c>
      <c r="G42" s="54">
        <f>3376102.33/1000</f>
        <v>3376.1023300000002</v>
      </c>
      <c r="H42" s="54"/>
      <c r="I42" s="15"/>
      <c r="J42" s="59"/>
      <c r="K42" s="11"/>
      <c r="L42" s="14"/>
      <c r="M42" s="11"/>
      <c r="N42" s="11"/>
      <c r="O42" s="11"/>
      <c r="P42" s="11"/>
      <c r="Q42" s="11"/>
      <c r="R42" s="11"/>
      <c r="S42" s="1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</row>
    <row r="43" spans="1:48" s="3" customFormat="1" ht="27.75" customHeight="1" x14ac:dyDescent="0.25">
      <c r="A43" s="196"/>
      <c r="B43" s="181"/>
      <c r="C43" s="181"/>
      <c r="D43" s="186"/>
      <c r="E43" s="54">
        <f t="shared" si="3"/>
        <v>3331.0830099999998</v>
      </c>
      <c r="F43" s="54" t="s">
        <v>90</v>
      </c>
      <c r="G43" s="54">
        <f>3331083.01/1000</f>
        <v>3331.0830099999998</v>
      </c>
      <c r="H43" s="54"/>
      <c r="I43" s="15"/>
      <c r="J43" s="59"/>
      <c r="K43" s="11"/>
      <c r="L43" s="14"/>
      <c r="M43" s="11"/>
      <c r="N43" s="11"/>
      <c r="O43" s="11"/>
      <c r="P43" s="11"/>
      <c r="Q43" s="11"/>
      <c r="R43" s="11"/>
      <c r="S43" s="1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</row>
    <row r="44" spans="1:48" s="3" customFormat="1" ht="27.75" customHeight="1" x14ac:dyDescent="0.25">
      <c r="A44" s="196"/>
      <c r="B44" s="181"/>
      <c r="C44" s="181"/>
      <c r="D44" s="186"/>
      <c r="E44" s="54">
        <f t="shared" si="3"/>
        <v>3652.3534500000001</v>
      </c>
      <c r="F44" s="54" t="s">
        <v>91</v>
      </c>
      <c r="G44" s="54">
        <f>3652353.45/1000</f>
        <v>3652.3534500000001</v>
      </c>
      <c r="H44" s="54"/>
      <c r="I44" s="15"/>
      <c r="J44" s="59"/>
      <c r="K44" s="11"/>
      <c r="L44" s="14"/>
      <c r="M44" s="11"/>
      <c r="N44" s="11"/>
      <c r="O44" s="11"/>
      <c r="P44" s="11"/>
      <c r="Q44" s="11"/>
      <c r="R44" s="11"/>
      <c r="S44" s="1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</row>
    <row r="45" spans="1:48" s="3" customFormat="1" ht="27.75" customHeight="1" x14ac:dyDescent="0.25">
      <c r="A45" s="196"/>
      <c r="B45" s="181"/>
      <c r="C45" s="181"/>
      <c r="D45" s="186"/>
      <c r="E45" s="54">
        <f t="shared" si="3"/>
        <v>2126.4572799999996</v>
      </c>
      <c r="F45" s="54" t="s">
        <v>92</v>
      </c>
      <c r="G45" s="54">
        <f>2126457.28/1000</f>
        <v>2126.4572799999996</v>
      </c>
      <c r="H45" s="54"/>
      <c r="I45" s="15"/>
      <c r="J45" s="59"/>
      <c r="K45" s="11"/>
      <c r="L45" s="14"/>
      <c r="M45" s="11"/>
      <c r="N45" s="11"/>
      <c r="O45" s="11"/>
      <c r="P45" s="11"/>
      <c r="Q45" s="11"/>
      <c r="R45" s="11"/>
      <c r="S45" s="1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</row>
    <row r="46" spans="1:48" s="3" customFormat="1" ht="27.75" customHeight="1" x14ac:dyDescent="0.25">
      <c r="A46" s="196"/>
      <c r="B46" s="181"/>
      <c r="C46" s="181"/>
      <c r="D46" s="186"/>
      <c r="E46" s="54">
        <f t="shared" si="3"/>
        <v>160.02428</v>
      </c>
      <c r="F46" s="54" t="s">
        <v>93</v>
      </c>
      <c r="G46" s="54">
        <f>160024.28/1000</f>
        <v>160.02428</v>
      </c>
      <c r="H46" s="54"/>
      <c r="I46" s="15"/>
      <c r="J46" s="59"/>
      <c r="K46" s="11"/>
      <c r="L46" s="14"/>
      <c r="M46" s="11"/>
      <c r="N46" s="11"/>
      <c r="O46" s="11"/>
      <c r="P46" s="11"/>
      <c r="Q46" s="11"/>
      <c r="R46" s="11"/>
      <c r="S46" s="1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</row>
    <row r="47" spans="1:48" s="3" customFormat="1" ht="27.75" customHeight="1" x14ac:dyDescent="0.25">
      <c r="A47" s="196"/>
      <c r="B47" s="181"/>
      <c r="C47" s="181"/>
      <c r="D47" s="186"/>
      <c r="E47" s="54">
        <f t="shared" si="3"/>
        <v>4126.34256</v>
      </c>
      <c r="F47" s="54" t="s">
        <v>94</v>
      </c>
      <c r="G47" s="54">
        <f>4126342.56/1000</f>
        <v>4126.34256</v>
      </c>
      <c r="H47" s="54"/>
      <c r="I47" s="15"/>
      <c r="J47" s="59"/>
      <c r="K47" s="11"/>
      <c r="L47" s="14"/>
      <c r="M47" s="11"/>
      <c r="N47" s="11"/>
      <c r="O47" s="11"/>
      <c r="P47" s="11"/>
      <c r="Q47" s="11"/>
      <c r="R47" s="11"/>
      <c r="S47" s="1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</row>
    <row r="48" spans="1:48" s="3" customFormat="1" ht="27.75" customHeight="1" x14ac:dyDescent="0.25">
      <c r="A48" s="196"/>
      <c r="B48" s="181"/>
      <c r="C48" s="181"/>
      <c r="D48" s="186"/>
      <c r="E48" s="54">
        <f t="shared" ref="E48:E53" si="4">G48</f>
        <v>3000</v>
      </c>
      <c r="F48" s="54" t="s">
        <v>162</v>
      </c>
      <c r="G48" s="54">
        <v>3000</v>
      </c>
      <c r="H48" s="54"/>
      <c r="I48" s="15"/>
      <c r="J48" s="59"/>
      <c r="K48" s="11"/>
      <c r="L48" s="14"/>
      <c r="M48" s="11"/>
      <c r="N48" s="11"/>
      <c r="O48" s="11"/>
      <c r="P48" s="11"/>
      <c r="Q48" s="11"/>
      <c r="R48" s="11"/>
      <c r="S48" s="1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</row>
    <row r="49" spans="1:48" s="3" customFormat="1" ht="27.75" customHeight="1" x14ac:dyDescent="0.25">
      <c r="A49" s="196"/>
      <c r="B49" s="181"/>
      <c r="C49" s="181"/>
      <c r="D49" s="186"/>
      <c r="E49" s="54">
        <f t="shared" si="4"/>
        <v>5000</v>
      </c>
      <c r="F49" s="54" t="s">
        <v>163</v>
      </c>
      <c r="G49" s="54">
        <v>5000</v>
      </c>
      <c r="H49" s="54"/>
      <c r="I49" s="15"/>
      <c r="J49" s="59"/>
      <c r="K49" s="11"/>
      <c r="L49" s="14"/>
      <c r="M49" s="11"/>
      <c r="N49" s="11"/>
      <c r="O49" s="11"/>
      <c r="P49" s="11"/>
      <c r="Q49" s="11"/>
      <c r="R49" s="11"/>
      <c r="S49" s="1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</row>
    <row r="50" spans="1:48" s="3" customFormat="1" ht="27.75" customHeight="1" x14ac:dyDescent="0.25">
      <c r="A50" s="196"/>
      <c r="B50" s="181"/>
      <c r="C50" s="181"/>
      <c r="D50" s="186"/>
      <c r="E50" s="54">
        <f t="shared" si="4"/>
        <v>3078.8122499999999</v>
      </c>
      <c r="F50" s="54" t="s">
        <v>165</v>
      </c>
      <c r="G50" s="54">
        <f>3078812.25/1000</f>
        <v>3078.8122499999999</v>
      </c>
      <c r="H50" s="54"/>
      <c r="I50" s="15"/>
      <c r="J50" s="59"/>
      <c r="K50" s="11"/>
      <c r="L50" s="14"/>
      <c r="M50" s="11"/>
      <c r="N50" s="11"/>
      <c r="O50" s="11"/>
      <c r="P50" s="11"/>
      <c r="Q50" s="11"/>
      <c r="R50" s="11"/>
      <c r="S50" s="1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</row>
    <row r="51" spans="1:48" s="3" customFormat="1" ht="27.75" customHeight="1" x14ac:dyDescent="0.25">
      <c r="A51" s="196"/>
      <c r="B51" s="181"/>
      <c r="C51" s="181"/>
      <c r="D51" s="186"/>
      <c r="E51" s="54">
        <f t="shared" si="4"/>
        <v>3000</v>
      </c>
      <c r="F51" s="54" t="s">
        <v>195</v>
      </c>
      <c r="G51" s="54">
        <v>3000</v>
      </c>
      <c r="H51" s="54"/>
      <c r="I51" s="15"/>
      <c r="J51" s="59"/>
      <c r="K51" s="11"/>
      <c r="L51" s="14"/>
      <c r="M51" s="11"/>
      <c r="N51" s="11"/>
      <c r="O51" s="11"/>
      <c r="P51" s="11"/>
      <c r="Q51" s="11"/>
      <c r="R51" s="11"/>
      <c r="S51" s="1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</row>
    <row r="52" spans="1:48" s="3" customFormat="1" ht="27.75" customHeight="1" x14ac:dyDescent="0.25">
      <c r="A52" s="196"/>
      <c r="B52" s="181"/>
      <c r="C52" s="181"/>
      <c r="D52" s="186"/>
      <c r="E52" s="54">
        <f t="shared" si="4"/>
        <v>8078.8122400000002</v>
      </c>
      <c r="F52" s="54" t="s">
        <v>202</v>
      </c>
      <c r="G52" s="54">
        <f>8078812.24/1000</f>
        <v>8078.8122400000002</v>
      </c>
      <c r="H52" s="54"/>
      <c r="I52" s="15"/>
      <c r="J52" s="59"/>
      <c r="K52" s="11"/>
      <c r="L52" s="14"/>
      <c r="M52" s="11"/>
      <c r="N52" s="11"/>
      <c r="O52" s="11"/>
      <c r="P52" s="11"/>
      <c r="Q52" s="11"/>
      <c r="R52" s="11"/>
      <c r="S52" s="1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</row>
    <row r="53" spans="1:48" s="3" customFormat="1" ht="27.75" customHeight="1" x14ac:dyDescent="0.25">
      <c r="A53" s="196"/>
      <c r="B53" s="184"/>
      <c r="C53" s="184"/>
      <c r="D53" s="187"/>
      <c r="E53" s="54">
        <f t="shared" si="4"/>
        <v>1834.2389800000001</v>
      </c>
      <c r="F53" s="54" t="s">
        <v>203</v>
      </c>
      <c r="G53" s="54">
        <f>1834238.98/1000</f>
        <v>1834.2389800000001</v>
      </c>
      <c r="H53" s="54"/>
      <c r="I53" s="15"/>
      <c r="J53" s="59"/>
      <c r="K53" s="11"/>
      <c r="L53" s="14"/>
      <c r="M53" s="11"/>
      <c r="N53" s="11"/>
      <c r="O53" s="11"/>
      <c r="P53" s="11"/>
      <c r="Q53" s="11"/>
      <c r="R53" s="11"/>
      <c r="S53" s="1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</row>
    <row r="54" spans="1:48" s="7" customFormat="1" ht="50.25" customHeight="1" x14ac:dyDescent="0.25">
      <c r="A54" s="196"/>
      <c r="B54" s="138" t="s">
        <v>50</v>
      </c>
      <c r="C54" s="138" t="s">
        <v>51</v>
      </c>
      <c r="D54" s="54">
        <f>48583.22/1000</f>
        <v>48.583220000000004</v>
      </c>
      <c r="E54" s="54">
        <f t="shared" ref="E54" si="5">G54</f>
        <v>9.7166399999999999</v>
      </c>
      <c r="F54" s="54" t="s">
        <v>70</v>
      </c>
      <c r="G54" s="8">
        <f>9716.64/1000</f>
        <v>9.7166399999999999</v>
      </c>
      <c r="H54" s="8"/>
      <c r="I54" s="54"/>
      <c r="J54" s="59"/>
      <c r="K54" s="11"/>
      <c r="L54" s="14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</row>
    <row r="55" spans="1:48" s="7" customFormat="1" ht="49.5" customHeight="1" x14ac:dyDescent="0.25">
      <c r="A55" s="196"/>
      <c r="B55" s="180" t="s">
        <v>37</v>
      </c>
      <c r="C55" s="180" t="s">
        <v>39</v>
      </c>
      <c r="D55" s="104"/>
      <c r="E55" s="54">
        <f t="shared" ref="E55:E71" si="6">G55</f>
        <v>867.02003319999994</v>
      </c>
      <c r="F55" s="54" t="s">
        <v>157</v>
      </c>
      <c r="G55" s="54">
        <f>734762.74*1.18/1000</f>
        <v>867.02003319999994</v>
      </c>
      <c r="H55" s="8">
        <f>J55</f>
        <v>52.459235999999997</v>
      </c>
      <c r="I55" s="54" t="s">
        <v>275</v>
      </c>
      <c r="J55" s="59">
        <f>43716.03*1.2/1000</f>
        <v>52.459235999999997</v>
      </c>
      <c r="K55" s="11"/>
      <c r="L55" s="14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</row>
    <row r="56" spans="1:48" s="7" customFormat="1" ht="50.25" customHeight="1" x14ac:dyDescent="0.25">
      <c r="A56" s="196"/>
      <c r="B56" s="184"/>
      <c r="C56" s="184"/>
      <c r="D56" s="104"/>
      <c r="E56" s="54">
        <f>G56</f>
        <v>52.459235999999997</v>
      </c>
      <c r="F56" s="54" t="s">
        <v>272</v>
      </c>
      <c r="G56" s="54">
        <f>43716.03*1.2/1000</f>
        <v>52.459235999999997</v>
      </c>
      <c r="H56" s="8"/>
      <c r="I56" s="54"/>
      <c r="J56" s="59"/>
      <c r="K56" s="11"/>
      <c r="L56" s="14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</row>
    <row r="57" spans="1:48" s="7" customFormat="1" ht="39" customHeight="1" x14ac:dyDescent="0.25">
      <c r="A57" s="196"/>
      <c r="B57" s="138" t="s">
        <v>18</v>
      </c>
      <c r="C57" s="138" t="s">
        <v>172</v>
      </c>
      <c r="D57" s="8">
        <f>9009348.3/1000</f>
        <v>9009.3483000000015</v>
      </c>
      <c r="E57" s="54">
        <f>G57</f>
        <v>970.55382999999995</v>
      </c>
      <c r="F57" s="54" t="s">
        <v>171</v>
      </c>
      <c r="G57" s="54">
        <f>970553.83/1000</f>
        <v>970.55382999999995</v>
      </c>
      <c r="H57" s="8"/>
      <c r="I57" s="54"/>
      <c r="J57" s="59"/>
      <c r="K57" s="11"/>
      <c r="L57" s="14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</row>
    <row r="58" spans="1:48" s="7" customFormat="1" ht="39" customHeight="1" x14ac:dyDescent="0.25">
      <c r="A58" s="196"/>
      <c r="B58" s="180" t="s">
        <v>191</v>
      </c>
      <c r="C58" s="180" t="s">
        <v>262</v>
      </c>
      <c r="D58" s="205">
        <f>66177229.59/1000</f>
        <v>66177.229590000003</v>
      </c>
      <c r="E58" s="54">
        <f>G58</f>
        <v>3308.86148</v>
      </c>
      <c r="F58" s="54" t="s">
        <v>192</v>
      </c>
      <c r="G58" s="54">
        <f>3308861.48/1000</f>
        <v>3308.86148</v>
      </c>
      <c r="H58" s="8"/>
      <c r="I58" s="54"/>
      <c r="J58" s="59"/>
      <c r="K58" s="11"/>
      <c r="L58" s="14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</row>
    <row r="59" spans="1:48" s="7" customFormat="1" ht="39" customHeight="1" x14ac:dyDescent="0.25">
      <c r="A59" s="196"/>
      <c r="B59" s="181"/>
      <c r="C59" s="181"/>
      <c r="D59" s="206"/>
      <c r="E59" s="54">
        <f>G59</f>
        <v>1508.8618300000001</v>
      </c>
      <c r="F59" s="54" t="s">
        <v>193</v>
      </c>
      <c r="G59" s="54">
        <f>1508861.83/1000</f>
        <v>1508.8618300000001</v>
      </c>
      <c r="H59" s="8"/>
      <c r="I59" s="54"/>
      <c r="J59" s="59"/>
      <c r="K59" s="11"/>
      <c r="L59" s="14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</row>
    <row r="60" spans="1:48" s="7" customFormat="1" ht="39" customHeight="1" thickBot="1" x14ac:dyDescent="0.3">
      <c r="A60" s="176"/>
      <c r="B60" s="182"/>
      <c r="C60" s="182"/>
      <c r="D60" s="207"/>
      <c r="E60" s="131">
        <f>G60</f>
        <v>1800</v>
      </c>
      <c r="F60" s="131" t="s">
        <v>194</v>
      </c>
      <c r="G60" s="131">
        <f>1800000/1000</f>
        <v>1800</v>
      </c>
      <c r="H60" s="141"/>
      <c r="I60" s="131"/>
      <c r="J60" s="73"/>
      <c r="K60" s="11"/>
      <c r="L60" s="14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</row>
    <row r="61" spans="1:48" s="7" customFormat="1" ht="48" customHeight="1" x14ac:dyDescent="0.25">
      <c r="A61" s="175" t="s">
        <v>141</v>
      </c>
      <c r="B61" s="74" t="s">
        <v>18</v>
      </c>
      <c r="C61" s="74" t="s">
        <v>137</v>
      </c>
      <c r="D61" s="55">
        <f>143412108/1000</f>
        <v>143412.10800000001</v>
      </c>
      <c r="E61" s="55">
        <f t="shared" si="6"/>
        <v>3076.0371500000001</v>
      </c>
      <c r="F61" s="55" t="s">
        <v>136</v>
      </c>
      <c r="G61" s="124">
        <f>3076037.15/1000</f>
        <v>3076.0371500000001</v>
      </c>
      <c r="H61" s="124"/>
      <c r="I61" s="55"/>
      <c r="J61" s="13"/>
      <c r="K61" s="11"/>
      <c r="L61" s="14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</row>
    <row r="62" spans="1:48" s="7" customFormat="1" ht="48" customHeight="1" thickBot="1" x14ac:dyDescent="0.3">
      <c r="A62" s="176"/>
      <c r="B62" s="188" t="s">
        <v>264</v>
      </c>
      <c r="C62" s="189"/>
      <c r="D62" s="190"/>
      <c r="E62" s="131">
        <f>G62</f>
        <v>-1649.5847099999989</v>
      </c>
      <c r="F62" s="131" t="s">
        <v>385</v>
      </c>
      <c r="G62" s="141">
        <v>-1649.5847099999989</v>
      </c>
      <c r="H62" s="141"/>
      <c r="I62" s="131"/>
      <c r="J62" s="73"/>
      <c r="K62" s="11"/>
      <c r="L62" s="14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</row>
    <row r="63" spans="1:48" s="3" customFormat="1" ht="63.75" customHeight="1" thickBot="1" x14ac:dyDescent="0.3">
      <c r="A63" s="60" t="s">
        <v>120</v>
      </c>
      <c r="B63" s="29" t="s">
        <v>148</v>
      </c>
      <c r="C63" s="29" t="s">
        <v>149</v>
      </c>
      <c r="D63" s="61">
        <v>99</v>
      </c>
      <c r="E63" s="30">
        <f t="shared" si="6"/>
        <v>1.47428</v>
      </c>
      <c r="F63" s="29" t="s">
        <v>150</v>
      </c>
      <c r="G63" s="30">
        <f>1474.28/1000</f>
        <v>1.47428</v>
      </c>
      <c r="H63" s="30"/>
      <c r="I63" s="29"/>
      <c r="J63" s="62"/>
      <c r="K63" s="23"/>
      <c r="L63" s="14"/>
      <c r="M63" s="11"/>
      <c r="N63" s="11"/>
      <c r="O63" s="11"/>
      <c r="P63" s="11"/>
      <c r="Q63" s="11"/>
      <c r="R63" s="11"/>
      <c r="S63" s="11"/>
    </row>
    <row r="64" spans="1:48" s="3" customFormat="1" ht="42.75" customHeight="1" thickBot="1" x14ac:dyDescent="0.3">
      <c r="A64" s="60" t="s">
        <v>265</v>
      </c>
      <c r="B64" s="188" t="s">
        <v>264</v>
      </c>
      <c r="C64" s="189"/>
      <c r="D64" s="190"/>
      <c r="E64" s="131">
        <f>G64</f>
        <v>-713.10821999999996</v>
      </c>
      <c r="F64" s="77" t="s">
        <v>279</v>
      </c>
      <c r="G64" s="131">
        <v>-713.10821999999996</v>
      </c>
      <c r="H64" s="145"/>
      <c r="I64" s="77"/>
      <c r="J64" s="73"/>
      <c r="K64" s="23"/>
      <c r="L64" s="14"/>
      <c r="M64" s="11"/>
      <c r="N64" s="11"/>
      <c r="O64" s="11"/>
      <c r="P64" s="11"/>
      <c r="Q64" s="11"/>
      <c r="R64" s="11"/>
      <c r="S64" s="11"/>
    </row>
    <row r="65" spans="1:36" s="3" customFormat="1" ht="45" customHeight="1" x14ac:dyDescent="0.25">
      <c r="A65" s="196" t="s">
        <v>116</v>
      </c>
      <c r="B65" s="181" t="s">
        <v>151</v>
      </c>
      <c r="C65" s="184" t="s">
        <v>152</v>
      </c>
      <c r="D65" s="221">
        <f>4018319/1000</f>
        <v>4018.319</v>
      </c>
      <c r="E65" s="133">
        <f t="shared" si="6"/>
        <v>387.24642</v>
      </c>
      <c r="F65" s="108" t="s">
        <v>158</v>
      </c>
      <c r="G65" s="133">
        <f>387246.42/1000</f>
        <v>387.24642</v>
      </c>
      <c r="H65" s="133"/>
      <c r="I65" s="132"/>
      <c r="J65" s="57"/>
      <c r="K65" s="23"/>
      <c r="L65" s="14"/>
      <c r="M65" s="11"/>
      <c r="N65" s="11"/>
      <c r="O65" s="11"/>
      <c r="P65" s="11"/>
      <c r="Q65" s="11"/>
      <c r="R65" s="11"/>
      <c r="S65" s="11"/>
    </row>
    <row r="66" spans="1:36" s="3" customFormat="1" ht="45" customHeight="1" x14ac:dyDescent="0.25">
      <c r="A66" s="196"/>
      <c r="B66" s="184"/>
      <c r="C66" s="220"/>
      <c r="D66" s="222"/>
      <c r="E66" s="133">
        <f>G66</f>
        <v>235.32852</v>
      </c>
      <c r="F66" s="132" t="s">
        <v>173</v>
      </c>
      <c r="G66" s="133">
        <f>235328.52/1000</f>
        <v>235.32852</v>
      </c>
      <c r="H66" s="133"/>
      <c r="I66" s="132"/>
      <c r="J66" s="57"/>
      <c r="K66" s="23"/>
      <c r="L66" s="14"/>
      <c r="M66" s="11"/>
      <c r="N66" s="11"/>
      <c r="O66" s="11"/>
      <c r="P66" s="11"/>
      <c r="Q66" s="11"/>
      <c r="R66" s="11"/>
      <c r="S66" s="11"/>
    </row>
    <row r="67" spans="1:36" s="3" customFormat="1" ht="49.5" customHeight="1" x14ac:dyDescent="0.25">
      <c r="A67" s="196"/>
      <c r="B67" s="132" t="s">
        <v>117</v>
      </c>
      <c r="C67" s="200" t="s">
        <v>118</v>
      </c>
      <c r="D67" s="201"/>
      <c r="E67" s="133">
        <f t="shared" si="6"/>
        <v>363.18385999999998</v>
      </c>
      <c r="F67" s="132" t="s">
        <v>119</v>
      </c>
      <c r="G67" s="133">
        <f>320921.02/1000+42262.84/1000</f>
        <v>363.18385999999998</v>
      </c>
      <c r="H67" s="133"/>
      <c r="I67" s="132"/>
      <c r="J67" s="57"/>
      <c r="K67" s="11"/>
      <c r="L67" s="14"/>
      <c r="M67" s="11"/>
      <c r="N67" s="11"/>
      <c r="O67" s="11"/>
      <c r="P67" s="11"/>
      <c r="Q67" s="11"/>
      <c r="R67" s="11"/>
      <c r="S67" s="11"/>
    </row>
    <row r="68" spans="1:36" s="3" customFormat="1" ht="45.75" customHeight="1" thickBot="1" x14ac:dyDescent="0.3">
      <c r="A68" s="176"/>
      <c r="B68" s="128" t="s">
        <v>131</v>
      </c>
      <c r="C68" s="188" t="s">
        <v>132</v>
      </c>
      <c r="D68" s="190"/>
      <c r="E68" s="131">
        <f t="shared" si="6"/>
        <v>7949.2486200000003</v>
      </c>
      <c r="F68" s="128" t="s">
        <v>133</v>
      </c>
      <c r="G68" s="131">
        <f>7949248.62/1000</f>
        <v>7949.2486200000003</v>
      </c>
      <c r="H68" s="131"/>
      <c r="I68" s="128"/>
      <c r="J68" s="73"/>
      <c r="K68" s="11"/>
      <c r="L68" s="14"/>
      <c r="M68" s="11"/>
      <c r="N68" s="11"/>
      <c r="O68" s="11"/>
      <c r="P68" s="11"/>
      <c r="Q68" s="11"/>
      <c r="R68" s="11"/>
      <c r="S68" s="11"/>
    </row>
    <row r="69" spans="1:36" s="3" customFormat="1" ht="90.75" customHeight="1" thickBot="1" x14ac:dyDescent="0.3">
      <c r="A69" s="156" t="s">
        <v>283</v>
      </c>
      <c r="B69" s="223" t="s">
        <v>264</v>
      </c>
      <c r="C69" s="224"/>
      <c r="D69" s="225"/>
      <c r="E69" s="30">
        <f>G69</f>
        <v>-922.76065000000006</v>
      </c>
      <c r="F69" s="131" t="s">
        <v>386</v>
      </c>
      <c r="G69" s="30">
        <f>-922760.65/1000</f>
        <v>-922.76065000000006</v>
      </c>
      <c r="H69" s="30"/>
      <c r="I69" s="29"/>
      <c r="J69" s="62"/>
      <c r="K69" s="11"/>
      <c r="L69" s="14"/>
      <c r="M69" s="11"/>
      <c r="N69" s="11"/>
      <c r="O69" s="11"/>
      <c r="P69" s="11"/>
      <c r="Q69" s="11"/>
      <c r="R69" s="11"/>
      <c r="S69" s="11"/>
    </row>
    <row r="70" spans="1:36" ht="28.5" x14ac:dyDescent="0.25">
      <c r="A70" s="196" t="s">
        <v>38</v>
      </c>
      <c r="B70" s="194" t="s">
        <v>40</v>
      </c>
      <c r="C70" s="194" t="s">
        <v>41</v>
      </c>
      <c r="D70" s="186">
        <f>66000000/1000</f>
        <v>66000</v>
      </c>
      <c r="E70" s="133">
        <f t="shared" si="6"/>
        <v>376.52620000000002</v>
      </c>
      <c r="F70" s="130" t="s">
        <v>72</v>
      </c>
      <c r="G70" s="130">
        <f>376526.2/1000</f>
        <v>376.52620000000002</v>
      </c>
      <c r="H70" s="133">
        <f>J70</f>
        <v>225</v>
      </c>
      <c r="I70" s="127" t="s">
        <v>184</v>
      </c>
      <c r="J70" s="109">
        <f>187500*1.2/1000</f>
        <v>225</v>
      </c>
      <c r="K70" s="49"/>
      <c r="L70" s="49"/>
      <c r="M70" s="49"/>
      <c r="N70" s="49"/>
      <c r="O70" s="49"/>
      <c r="P70" s="49"/>
      <c r="Q70" s="49"/>
      <c r="R70" s="49"/>
      <c r="S70" s="49"/>
    </row>
    <row r="71" spans="1:36" ht="28.5" x14ac:dyDescent="0.25">
      <c r="A71" s="196"/>
      <c r="B71" s="194"/>
      <c r="C71" s="194"/>
      <c r="D71" s="186"/>
      <c r="E71" s="130">
        <f t="shared" si="6"/>
        <v>26728.948680000001</v>
      </c>
      <c r="F71" s="129" t="s">
        <v>73</v>
      </c>
      <c r="G71" s="129">
        <f>26728948.68/1000</f>
        <v>26728.948680000001</v>
      </c>
      <c r="H71" s="133"/>
      <c r="I71" s="126"/>
      <c r="J71" s="56"/>
      <c r="K71" s="49"/>
      <c r="L71" s="49"/>
      <c r="M71" s="49"/>
      <c r="N71" s="49"/>
      <c r="O71" s="49"/>
      <c r="P71" s="49"/>
      <c r="Q71" s="49"/>
      <c r="R71" s="49"/>
      <c r="S71" s="49"/>
    </row>
    <row r="72" spans="1:36" ht="28.5" x14ac:dyDescent="0.25">
      <c r="A72" s="196"/>
      <c r="B72" s="194"/>
      <c r="C72" s="194"/>
      <c r="D72" s="186"/>
      <c r="E72" s="54">
        <f>+G72</f>
        <v>413.00038000000001</v>
      </c>
      <c r="F72" s="54" t="s">
        <v>74</v>
      </c>
      <c r="G72" s="54">
        <f>413000.38/1000</f>
        <v>413.00038000000001</v>
      </c>
      <c r="H72" s="54"/>
      <c r="I72" s="138"/>
      <c r="J72" s="59"/>
      <c r="K72" s="49"/>
      <c r="L72" s="49"/>
      <c r="M72" s="49"/>
      <c r="N72" s="49"/>
      <c r="O72" s="49"/>
      <c r="P72" s="49"/>
      <c r="Q72" s="49"/>
      <c r="R72" s="49"/>
      <c r="S72" s="49"/>
    </row>
    <row r="73" spans="1:36" ht="28.5" x14ac:dyDescent="0.25">
      <c r="A73" s="196"/>
      <c r="B73" s="194"/>
      <c r="C73" s="194"/>
      <c r="D73" s="186"/>
      <c r="E73" s="28">
        <f>+G73</f>
        <v>8988.7677100000001</v>
      </c>
      <c r="F73" s="88" t="s">
        <v>79</v>
      </c>
      <c r="G73" s="28">
        <f>8988767.71/1000</f>
        <v>8988.7677100000001</v>
      </c>
      <c r="H73" s="54"/>
      <c r="I73" s="138"/>
      <c r="J73" s="59"/>
      <c r="K73" s="49"/>
      <c r="L73" s="49"/>
      <c r="M73" s="49"/>
      <c r="N73" s="49"/>
      <c r="O73" s="49"/>
      <c r="P73" s="49"/>
      <c r="Q73" s="49"/>
      <c r="R73" s="49"/>
      <c r="S73" s="49"/>
    </row>
    <row r="74" spans="1:36" ht="28.5" x14ac:dyDescent="0.25">
      <c r="A74" s="196"/>
      <c r="B74" s="194"/>
      <c r="C74" s="194"/>
      <c r="D74" s="186"/>
      <c r="E74" s="54">
        <f>+G74</f>
        <v>2000</v>
      </c>
      <c r="F74" s="54" t="s">
        <v>80</v>
      </c>
      <c r="G74" s="54">
        <f>2000000/1000</f>
        <v>2000</v>
      </c>
      <c r="H74" s="54"/>
      <c r="I74" s="138"/>
      <c r="J74" s="59"/>
      <c r="K74" s="49"/>
      <c r="L74" s="49"/>
      <c r="M74" s="49"/>
      <c r="N74" s="49"/>
      <c r="O74" s="49"/>
      <c r="P74" s="49"/>
      <c r="Q74" s="49"/>
      <c r="R74" s="49"/>
      <c r="S74" s="49"/>
    </row>
    <row r="75" spans="1:36" ht="28.5" x14ac:dyDescent="0.25">
      <c r="A75" s="196"/>
      <c r="B75" s="195"/>
      <c r="C75" s="195"/>
      <c r="D75" s="187"/>
      <c r="E75" s="28">
        <f>+G75</f>
        <v>280.68896000000001</v>
      </c>
      <c r="F75" s="88" t="s">
        <v>81</v>
      </c>
      <c r="G75" s="28">
        <f>280688.96/1000</f>
        <v>280.68896000000001</v>
      </c>
      <c r="H75" s="54"/>
      <c r="I75" s="126"/>
      <c r="J75" s="59"/>
      <c r="K75" s="49"/>
      <c r="L75" s="49"/>
      <c r="M75" s="49"/>
      <c r="N75" s="49"/>
      <c r="O75" s="49"/>
      <c r="P75" s="49"/>
      <c r="Q75" s="49"/>
      <c r="R75" s="49"/>
      <c r="S75" s="49"/>
    </row>
    <row r="76" spans="1:36" s="9" customFormat="1" ht="33.75" customHeight="1" x14ac:dyDescent="0.25">
      <c r="A76" s="196"/>
      <c r="B76" s="144" t="s">
        <v>56</v>
      </c>
      <c r="C76" s="144" t="s">
        <v>57</v>
      </c>
      <c r="D76" s="28">
        <v>1837.8000033999999</v>
      </c>
      <c r="E76" s="54">
        <f t="shared" ref="E76:E81" si="7">G76</f>
        <v>1837.8</v>
      </c>
      <c r="F76" s="88" t="s">
        <v>95</v>
      </c>
      <c r="G76" s="54">
        <f>1837800/1000</f>
        <v>1837.8</v>
      </c>
      <c r="H76" s="54"/>
      <c r="I76" s="138"/>
      <c r="J76" s="5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</row>
    <row r="77" spans="1:36" s="9" customFormat="1" ht="33.75" customHeight="1" x14ac:dyDescent="0.25">
      <c r="A77" s="196"/>
      <c r="B77" s="204" t="s">
        <v>96</v>
      </c>
      <c r="C77" s="204" t="s">
        <v>97</v>
      </c>
      <c r="D77" s="202">
        <f>4326083.05/1000</f>
        <v>4326.0830500000002</v>
      </c>
      <c r="E77" s="129">
        <f t="shared" si="7"/>
        <v>2000</v>
      </c>
      <c r="F77" s="88" t="s">
        <v>98</v>
      </c>
      <c r="G77" s="129">
        <v>2000</v>
      </c>
      <c r="H77" s="54">
        <f t="shared" ref="H77" si="8">J77</f>
        <v>5191.2996599999988</v>
      </c>
      <c r="I77" s="138" t="s">
        <v>144</v>
      </c>
      <c r="J77" s="59">
        <f>4326083.05*1.2/1000</f>
        <v>5191.2996599999988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</row>
    <row r="78" spans="1:36" s="9" customFormat="1" ht="33.75" customHeight="1" x14ac:dyDescent="0.25">
      <c r="A78" s="196"/>
      <c r="B78" s="195"/>
      <c r="C78" s="195"/>
      <c r="D78" s="203"/>
      <c r="E78" s="129">
        <f t="shared" si="7"/>
        <v>3191.2996600000001</v>
      </c>
      <c r="F78" s="89" t="s">
        <v>134</v>
      </c>
      <c r="G78" s="129">
        <f>3191299.66/1000</f>
        <v>3191.2996600000001</v>
      </c>
      <c r="H78" s="54"/>
      <c r="I78" s="138"/>
      <c r="J78" s="5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</row>
    <row r="79" spans="1:36" s="9" customFormat="1" ht="33.75" customHeight="1" x14ac:dyDescent="0.25">
      <c r="A79" s="196"/>
      <c r="B79" s="144" t="s">
        <v>102</v>
      </c>
      <c r="C79" s="144" t="s">
        <v>103</v>
      </c>
      <c r="D79" s="28">
        <f>1926849.41/1000</f>
        <v>1926.8494099999998</v>
      </c>
      <c r="E79" s="54">
        <f t="shared" si="7"/>
        <v>2312.21929</v>
      </c>
      <c r="F79" s="88" t="s">
        <v>130</v>
      </c>
      <c r="G79" s="54">
        <f>2312219.29/1000</f>
        <v>2312.21929</v>
      </c>
      <c r="H79" s="54">
        <f>J79</f>
        <v>2312.2192919999998</v>
      </c>
      <c r="I79" s="138" t="s">
        <v>145</v>
      </c>
      <c r="J79" s="59">
        <f>1926849.41*1.2/1000</f>
        <v>2312.2192919999998</v>
      </c>
      <c r="K79" s="66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</row>
    <row r="80" spans="1:36" s="9" customFormat="1" ht="33.75" customHeight="1" x14ac:dyDescent="0.25">
      <c r="A80" s="196"/>
      <c r="B80" s="144" t="s">
        <v>128</v>
      </c>
      <c r="C80" s="144" t="s">
        <v>127</v>
      </c>
      <c r="D80" s="28">
        <f>1184508.47/1000</f>
        <v>1184.50847</v>
      </c>
      <c r="E80" s="54">
        <f t="shared" si="7"/>
        <v>1397.72</v>
      </c>
      <c r="F80" s="88" t="s">
        <v>129</v>
      </c>
      <c r="G80" s="54">
        <f>1397720/1000</f>
        <v>1397.72</v>
      </c>
      <c r="H80" s="54"/>
      <c r="I80" s="138"/>
      <c r="J80" s="59"/>
      <c r="K80" s="67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</row>
    <row r="81" spans="1:36" s="9" customFormat="1" ht="42" customHeight="1" x14ac:dyDescent="0.25">
      <c r="A81" s="196"/>
      <c r="B81" s="144" t="s">
        <v>37</v>
      </c>
      <c r="C81" s="144" t="s">
        <v>39</v>
      </c>
      <c r="D81" s="28"/>
      <c r="E81" s="54">
        <f t="shared" si="7"/>
        <v>105.24830639999999</v>
      </c>
      <c r="F81" s="88" t="s">
        <v>157</v>
      </c>
      <c r="G81" s="54">
        <f>89193.48*1.18/1000</f>
        <v>105.24830639999999</v>
      </c>
      <c r="H81" s="54">
        <f>J81</f>
        <v>468.77436</v>
      </c>
      <c r="I81" s="138" t="s">
        <v>146</v>
      </c>
      <c r="J81" s="59">
        <f>390645.3*1.2/1000</f>
        <v>468.77436</v>
      </c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</row>
    <row r="82" spans="1:36" s="9" customFormat="1" ht="33.75" customHeight="1" x14ac:dyDescent="0.25">
      <c r="A82" s="196"/>
      <c r="B82" s="144" t="s">
        <v>37</v>
      </c>
      <c r="C82" s="137" t="s">
        <v>179</v>
      </c>
      <c r="D82" s="140"/>
      <c r="E82" s="133">
        <f>G82</f>
        <v>468.77436</v>
      </c>
      <c r="F82" s="100" t="s">
        <v>188</v>
      </c>
      <c r="G82" s="133">
        <f>390645.3*1.2/1000</f>
        <v>468.77436</v>
      </c>
      <c r="H82" s="54"/>
      <c r="I82" s="138"/>
      <c r="J82" s="59"/>
      <c r="K82" s="98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</row>
    <row r="83" spans="1:36" s="9" customFormat="1" ht="33.75" customHeight="1" x14ac:dyDescent="0.25">
      <c r="A83" s="196"/>
      <c r="B83" s="137" t="s">
        <v>40</v>
      </c>
      <c r="C83" s="137" t="s">
        <v>169</v>
      </c>
      <c r="D83" s="140">
        <f>983885.76/1000</f>
        <v>983.88576</v>
      </c>
      <c r="E83" s="133">
        <f>G83</f>
        <v>1000.5617900000001</v>
      </c>
      <c r="F83" s="100" t="s">
        <v>170</v>
      </c>
      <c r="G83" s="133">
        <f>1000561.79/1000</f>
        <v>1000.5617900000001</v>
      </c>
      <c r="H83" s="133">
        <f>J83</f>
        <v>1000.561788</v>
      </c>
      <c r="I83" s="132" t="s">
        <v>183</v>
      </c>
      <c r="J83" s="57">
        <f>833801.49*1.2/1000</f>
        <v>1000.561788</v>
      </c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</row>
    <row r="84" spans="1:36" s="9" customFormat="1" ht="48.75" customHeight="1" x14ac:dyDescent="0.25">
      <c r="A84" s="196"/>
      <c r="B84" s="137" t="s">
        <v>40</v>
      </c>
      <c r="C84" s="137" t="s">
        <v>196</v>
      </c>
      <c r="D84" s="140">
        <v>225</v>
      </c>
      <c r="E84" s="133">
        <f>G84</f>
        <v>225</v>
      </c>
      <c r="F84" s="100" t="s">
        <v>197</v>
      </c>
      <c r="G84" s="133">
        <f>225000/1000</f>
        <v>225</v>
      </c>
      <c r="H84" s="133"/>
      <c r="I84" s="132"/>
      <c r="J84" s="57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</row>
    <row r="85" spans="1:36" s="9" customFormat="1" ht="33.75" customHeight="1" x14ac:dyDescent="0.25">
      <c r="A85" s="196"/>
      <c r="B85" s="184" t="s">
        <v>104</v>
      </c>
      <c r="C85" s="184"/>
      <c r="D85" s="184"/>
      <c r="E85" s="90"/>
      <c r="F85" s="90"/>
      <c r="G85" s="90"/>
      <c r="H85" s="140">
        <f>J85</f>
        <v>1479.1954694000001</v>
      </c>
      <c r="I85" s="136" t="s">
        <v>13</v>
      </c>
      <c r="J85" s="91">
        <f>1479195.4694/1000</f>
        <v>1479.1954694000001</v>
      </c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</row>
    <row r="86" spans="1:36" s="9" customFormat="1" ht="33.75" customHeight="1" thickBot="1" x14ac:dyDescent="0.3">
      <c r="A86" s="176"/>
      <c r="B86" s="197" t="s">
        <v>115</v>
      </c>
      <c r="C86" s="198"/>
      <c r="D86" s="199"/>
      <c r="E86" s="131">
        <f>G86</f>
        <v>234.71364</v>
      </c>
      <c r="F86" s="131" t="s">
        <v>13</v>
      </c>
      <c r="G86" s="131">
        <v>234.71364</v>
      </c>
      <c r="H86" s="131">
        <f>J86</f>
        <v>234.71364</v>
      </c>
      <c r="I86" s="131" t="s">
        <v>13</v>
      </c>
      <c r="J86" s="73">
        <v>234.71364</v>
      </c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</row>
    <row r="87" spans="1:36" s="9" customFormat="1" ht="45" customHeight="1" thickBot="1" x14ac:dyDescent="0.3">
      <c r="A87" s="60" t="s">
        <v>140</v>
      </c>
      <c r="B87" s="75" t="s">
        <v>37</v>
      </c>
      <c r="C87" s="75" t="s">
        <v>39</v>
      </c>
      <c r="D87" s="29"/>
      <c r="E87" s="30">
        <f>G87</f>
        <v>9.9621972000000003</v>
      </c>
      <c r="F87" s="92" t="s">
        <v>157</v>
      </c>
      <c r="G87" s="30">
        <f>8442.54*1.18/1000</f>
        <v>9.9621972000000003</v>
      </c>
      <c r="H87" s="70"/>
      <c r="I87" s="71"/>
      <c r="J87" s="76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</row>
    <row r="88" spans="1:36" s="10" customFormat="1" ht="15.75" thickBot="1" x14ac:dyDescent="0.3">
      <c r="A88" s="63" t="s">
        <v>19</v>
      </c>
      <c r="B88" s="128"/>
      <c r="C88" s="128"/>
      <c r="D88" s="128"/>
      <c r="E88" s="36">
        <f>SUM(E39:E87)</f>
        <v>121037.39710280002</v>
      </c>
      <c r="F88" s="36"/>
      <c r="G88" s="36">
        <f>SUM(G39:G87)</f>
        <v>121037.39710280002</v>
      </c>
      <c r="H88" s="36">
        <f>SUM(H39:H87)</f>
        <v>12798.462421399996</v>
      </c>
      <c r="I88" s="36"/>
      <c r="J88" s="97">
        <f>SUM(J39:J87)</f>
        <v>12798.462421399996</v>
      </c>
      <c r="K88" s="5"/>
      <c r="L88" s="5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</row>
    <row r="89" spans="1:36" ht="30.75" thickBot="1" x14ac:dyDescent="0.3">
      <c r="A89" s="63" t="s">
        <v>20</v>
      </c>
      <c r="B89" s="64"/>
      <c r="C89" s="64"/>
      <c r="D89" s="64"/>
      <c r="E89" s="36">
        <f>G89</f>
        <v>818.99863073419397</v>
      </c>
      <c r="F89" s="131"/>
      <c r="G89" s="36">
        <f>119.944938455699*6+99.329</f>
        <v>818.99863073419397</v>
      </c>
      <c r="H89" s="36">
        <f>J89</f>
        <v>818.99863073419397</v>
      </c>
      <c r="I89" s="131"/>
      <c r="J89" s="97">
        <f>119.944938455699*6+99.329</f>
        <v>818.99863073419397</v>
      </c>
      <c r="N89" s="49"/>
      <c r="O89" s="49"/>
      <c r="P89" s="51"/>
      <c r="Q89" s="49"/>
      <c r="R89" s="49"/>
      <c r="S89" s="49"/>
    </row>
    <row r="90" spans="1:36" ht="30.75" thickBot="1" x14ac:dyDescent="0.3">
      <c r="A90" s="17" t="s">
        <v>21</v>
      </c>
      <c r="B90" s="35"/>
      <c r="C90" s="35"/>
      <c r="D90" s="35"/>
      <c r="E90" s="33">
        <f>E88+E89</f>
        <v>121856.39573353421</v>
      </c>
      <c r="F90" s="30"/>
      <c r="G90" s="33">
        <f>G88+G89</f>
        <v>121856.39573353421</v>
      </c>
      <c r="H90" s="33">
        <f>H88+H89</f>
        <v>13617.461052134189</v>
      </c>
      <c r="I90" s="30"/>
      <c r="J90" s="34">
        <f>J88+J89</f>
        <v>13617.461052134189</v>
      </c>
      <c r="M90" s="4"/>
      <c r="N90" s="49"/>
      <c r="O90" s="49"/>
      <c r="P90" s="49"/>
      <c r="Q90" s="51"/>
      <c r="R90" s="49"/>
      <c r="S90" s="49"/>
    </row>
    <row r="91" spans="1:36" ht="49.5" customHeight="1" thickBot="1" x14ac:dyDescent="0.3">
      <c r="A91" s="17" t="s">
        <v>22</v>
      </c>
      <c r="B91" s="35"/>
      <c r="C91" s="35"/>
      <c r="D91" s="35"/>
      <c r="E91" s="33">
        <f>E37+E90</f>
        <v>132703.58173252316</v>
      </c>
      <c r="F91" s="33"/>
      <c r="G91" s="33">
        <f>G37+G90</f>
        <v>132703.58173252316</v>
      </c>
      <c r="H91" s="33">
        <f>H37+H90</f>
        <v>34047.797982723132</v>
      </c>
      <c r="I91" s="30"/>
      <c r="J91" s="34">
        <f>J37+J90</f>
        <v>34047.797982723132</v>
      </c>
      <c r="N91" s="49"/>
      <c r="O91" s="49"/>
      <c r="P91" s="49"/>
      <c r="Q91" s="51"/>
      <c r="R91" s="49"/>
      <c r="S91" s="49"/>
    </row>
    <row r="92" spans="1:36" x14ac:dyDescent="0.25">
      <c r="A92" s="18"/>
      <c r="B92" s="18"/>
      <c r="C92" s="18"/>
      <c r="D92" s="18"/>
      <c r="E92" s="37"/>
      <c r="F92" s="38"/>
      <c r="G92" s="37"/>
      <c r="H92" s="39"/>
      <c r="I92" s="38"/>
      <c r="J92" s="37"/>
      <c r="N92" s="49"/>
      <c r="O92" s="49"/>
      <c r="P92" s="49"/>
      <c r="Q92" s="49"/>
      <c r="R92" s="49"/>
      <c r="S92" s="49"/>
    </row>
    <row r="93" spans="1:36" ht="22.5" customHeight="1" x14ac:dyDescent="0.25">
      <c r="A93" s="19"/>
      <c r="B93" s="18"/>
      <c r="C93" s="18"/>
      <c r="D93" s="18"/>
      <c r="E93" s="40"/>
      <c r="F93" s="38"/>
      <c r="G93" s="37"/>
      <c r="H93" s="37"/>
      <c r="I93" s="38"/>
      <c r="J93" s="37"/>
      <c r="N93" s="49"/>
      <c r="O93" s="49"/>
      <c r="P93" s="49"/>
      <c r="Q93" s="49"/>
      <c r="R93" s="49"/>
      <c r="S93" s="49"/>
    </row>
    <row r="95" spans="1:36" ht="15.75" x14ac:dyDescent="0.25">
      <c r="A95" s="115" t="s">
        <v>281</v>
      </c>
      <c r="B95" s="116"/>
      <c r="C95" s="116"/>
      <c r="G95" s="14"/>
      <c r="K95" s="49"/>
    </row>
    <row r="96" spans="1:36" ht="15.75" x14ac:dyDescent="0.25">
      <c r="A96" s="117" t="s">
        <v>23</v>
      </c>
      <c r="B96" s="118"/>
      <c r="C96" s="118"/>
      <c r="G96" s="14"/>
      <c r="H96" s="14"/>
      <c r="K96" s="49"/>
    </row>
    <row r="97" spans="1:11" ht="31.5" customHeight="1" x14ac:dyDescent="0.25">
      <c r="A97" s="191" t="s">
        <v>276</v>
      </c>
      <c r="B97" s="191"/>
      <c r="C97" s="191"/>
      <c r="G97" s="14"/>
      <c r="H97" s="14"/>
      <c r="K97" s="49"/>
    </row>
    <row r="98" spans="1:11" ht="15.75" thickBot="1" x14ac:dyDescent="0.3">
      <c r="A98" s="118"/>
      <c r="B98" s="118"/>
      <c r="C98" s="118"/>
      <c r="H98" s="14"/>
      <c r="K98" s="49"/>
    </row>
    <row r="99" spans="1:11" ht="16.5" thickBot="1" x14ac:dyDescent="0.3">
      <c r="A99" s="149" t="s">
        <v>24</v>
      </c>
      <c r="B99" s="150" t="s">
        <v>25</v>
      </c>
      <c r="C99" s="150" t="s">
        <v>26</v>
      </c>
      <c r="G99" s="14"/>
      <c r="H99" s="14"/>
      <c r="K99" s="49"/>
    </row>
    <row r="100" spans="1:11" ht="16.5" thickBot="1" x14ac:dyDescent="0.3">
      <c r="A100" s="151"/>
      <c r="B100" s="152"/>
      <c r="C100" s="152"/>
      <c r="K100" s="49"/>
    </row>
    <row r="101" spans="1:11" ht="30.75" thickBot="1" x14ac:dyDescent="0.3">
      <c r="A101" s="52" t="s">
        <v>59</v>
      </c>
      <c r="B101" s="93">
        <v>34047.800000000003</v>
      </c>
      <c r="C101" s="93">
        <v>132703.57999999999</v>
      </c>
      <c r="G101" s="14"/>
      <c r="I101" s="14"/>
      <c r="K101" s="49"/>
    </row>
    <row r="102" spans="1:11" ht="15.75" thickBot="1" x14ac:dyDescent="0.3">
      <c r="A102" s="52" t="s">
        <v>27</v>
      </c>
      <c r="B102" s="93">
        <v>19530.77</v>
      </c>
      <c r="C102" s="93">
        <v>19530.77</v>
      </c>
      <c r="G102" s="14"/>
      <c r="K102" s="49"/>
    </row>
    <row r="103" spans="1:11" ht="15.75" thickBot="1" x14ac:dyDescent="0.3">
      <c r="A103" s="52" t="s">
        <v>60</v>
      </c>
      <c r="B103" s="93">
        <v>198162.22</v>
      </c>
      <c r="C103" s="93">
        <v>198162.22</v>
      </c>
      <c r="G103" s="14"/>
      <c r="K103" s="49"/>
    </row>
    <row r="104" spans="1:11" ht="30.75" thickBot="1" x14ac:dyDescent="0.3">
      <c r="A104" s="52" t="s">
        <v>61</v>
      </c>
      <c r="B104" s="93">
        <v>30767.9</v>
      </c>
      <c r="C104" s="93">
        <v>30767.9</v>
      </c>
      <c r="G104" s="14"/>
      <c r="K104" s="49"/>
    </row>
    <row r="105" spans="1:11" ht="30.75" thickBot="1" x14ac:dyDescent="0.3">
      <c r="A105" s="52" t="s">
        <v>28</v>
      </c>
      <c r="B105" s="93">
        <v>132489.43</v>
      </c>
      <c r="C105" s="93">
        <v>132896.62</v>
      </c>
    </row>
    <row r="106" spans="1:11" ht="15.75" thickBot="1" x14ac:dyDescent="0.3">
      <c r="A106" s="53" t="s">
        <v>29</v>
      </c>
      <c r="B106" s="153">
        <v>0</v>
      </c>
      <c r="C106" s="153">
        <v>0</v>
      </c>
      <c r="H106" s="14"/>
    </row>
    <row r="107" spans="1:11" ht="15.75" thickBot="1" x14ac:dyDescent="0.3">
      <c r="A107" s="53" t="s">
        <v>30</v>
      </c>
      <c r="B107" s="153" t="s">
        <v>381</v>
      </c>
      <c r="C107" s="95">
        <v>132896.62</v>
      </c>
    </row>
    <row r="108" spans="1:11" ht="15.75" thickBot="1" x14ac:dyDescent="0.3">
      <c r="A108" s="53" t="s">
        <v>62</v>
      </c>
      <c r="B108" s="153">
        <v>0</v>
      </c>
      <c r="C108" s="153">
        <v>0</v>
      </c>
    </row>
    <row r="109" spans="1:11" ht="30.75" thickBot="1" x14ac:dyDescent="0.3">
      <c r="A109" s="53" t="s">
        <v>63</v>
      </c>
      <c r="B109" s="153">
        <v>0</v>
      </c>
      <c r="C109" s="153">
        <v>0</v>
      </c>
    </row>
    <row r="110" spans="1:11" ht="30.75" thickBot="1" x14ac:dyDescent="0.3">
      <c r="A110" s="53" t="s">
        <v>64</v>
      </c>
      <c r="B110" s="153">
        <v>0</v>
      </c>
      <c r="C110" s="153">
        <v>0</v>
      </c>
    </row>
    <row r="111" spans="1:11" ht="15.75" thickBot="1" x14ac:dyDescent="0.3">
      <c r="A111" s="53" t="s">
        <v>65</v>
      </c>
      <c r="B111" s="153">
        <v>0</v>
      </c>
      <c r="C111" s="153">
        <v>0</v>
      </c>
    </row>
    <row r="112" spans="1:11" ht="30" x14ac:dyDescent="0.25">
      <c r="A112" s="154" t="s">
        <v>66</v>
      </c>
      <c r="B112" s="192">
        <v>426766.37</v>
      </c>
      <c r="C112" s="192">
        <v>412629.42</v>
      </c>
    </row>
    <row r="113" spans="1:6" ht="45.75" thickBot="1" x14ac:dyDescent="0.3">
      <c r="A113" s="52" t="s">
        <v>67</v>
      </c>
      <c r="B113" s="193"/>
      <c r="C113" s="193"/>
    </row>
    <row r="114" spans="1:6" ht="15.75" thickBot="1" x14ac:dyDescent="0.3">
      <c r="A114" s="52" t="s">
        <v>68</v>
      </c>
      <c r="B114" s="94">
        <v>0</v>
      </c>
      <c r="C114" s="94">
        <v>0</v>
      </c>
    </row>
    <row r="115" spans="1:6" ht="45.75" thickBot="1" x14ac:dyDescent="0.3">
      <c r="A115" s="52" t="s">
        <v>31</v>
      </c>
      <c r="B115" s="93">
        <v>65735.19</v>
      </c>
      <c r="C115" s="93">
        <v>46042.86</v>
      </c>
    </row>
    <row r="116" spans="1:6" ht="30.75" thickBot="1" x14ac:dyDescent="0.3">
      <c r="A116" s="53" t="s">
        <v>32</v>
      </c>
      <c r="B116" s="95">
        <v>5392.54</v>
      </c>
      <c r="C116" s="95">
        <v>25084.87</v>
      </c>
    </row>
    <row r="117" spans="1:6" ht="15.75" thickBot="1" x14ac:dyDescent="0.3">
      <c r="A117" s="53" t="s">
        <v>33</v>
      </c>
      <c r="B117" s="95">
        <v>71127.73</v>
      </c>
      <c r="C117" s="95">
        <v>71127.73</v>
      </c>
    </row>
    <row r="118" spans="1:6" x14ac:dyDescent="0.25">
      <c r="A118" s="155"/>
      <c r="B118" s="155"/>
      <c r="C118" s="155"/>
    </row>
    <row r="119" spans="1:6" ht="36" customHeight="1" x14ac:dyDescent="0.25">
      <c r="A119" s="123"/>
      <c r="B119" s="41"/>
      <c r="C119" s="41"/>
    </row>
    <row r="120" spans="1:6" ht="18.75" x14ac:dyDescent="0.3">
      <c r="A120" s="161" t="s">
        <v>34</v>
      </c>
      <c r="B120" s="162"/>
      <c r="C120" s="162"/>
      <c r="D120" s="162"/>
      <c r="E120" s="163" t="s">
        <v>47</v>
      </c>
      <c r="F120" s="42"/>
    </row>
    <row r="121" spans="1:6" ht="18.75" x14ac:dyDescent="0.3">
      <c r="A121" s="161"/>
      <c r="B121" s="164"/>
      <c r="C121" s="164"/>
      <c r="D121" s="162"/>
      <c r="E121" s="162"/>
      <c r="F121" s="42"/>
    </row>
    <row r="122" spans="1:6" ht="18.75" x14ac:dyDescent="0.3">
      <c r="A122" s="161"/>
      <c r="B122" s="164"/>
      <c r="C122" s="164"/>
      <c r="D122" s="162"/>
      <c r="E122" s="162"/>
      <c r="F122" s="42"/>
    </row>
    <row r="123" spans="1:6" ht="18.75" x14ac:dyDescent="0.3">
      <c r="A123" s="165"/>
      <c r="B123" s="166"/>
      <c r="C123" s="166"/>
      <c r="D123" s="167"/>
      <c r="E123" s="167"/>
      <c r="F123" s="42"/>
    </row>
    <row r="124" spans="1:6" ht="18.75" x14ac:dyDescent="0.3">
      <c r="A124" s="165" t="s">
        <v>277</v>
      </c>
      <c r="B124" s="166"/>
      <c r="C124" s="166"/>
      <c r="D124" s="167"/>
      <c r="E124" s="166" t="s">
        <v>35</v>
      </c>
      <c r="F124" s="42"/>
    </row>
  </sheetData>
  <mergeCells count="68">
    <mergeCell ref="B64:D64"/>
    <mergeCell ref="B55:B56"/>
    <mergeCell ref="C55:C56"/>
    <mergeCell ref="B18:B21"/>
    <mergeCell ref="C18:C21"/>
    <mergeCell ref="D18:D21"/>
    <mergeCell ref="B22:B24"/>
    <mergeCell ref="A13:A24"/>
    <mergeCell ref="C22:C24"/>
    <mergeCell ref="D22:D24"/>
    <mergeCell ref="B25:B26"/>
    <mergeCell ref="C25:C26"/>
    <mergeCell ref="D25:D26"/>
    <mergeCell ref="A8:J8"/>
    <mergeCell ref="F28:F30"/>
    <mergeCell ref="B16:B17"/>
    <mergeCell ref="C16:C17"/>
    <mergeCell ref="D16:D17"/>
    <mergeCell ref="A25:A34"/>
    <mergeCell ref="A9:A10"/>
    <mergeCell ref="B10:D10"/>
    <mergeCell ref="B12:D12"/>
    <mergeCell ref="A11:A12"/>
    <mergeCell ref="B28:B30"/>
    <mergeCell ref="C28:C30"/>
    <mergeCell ref="B34:D34"/>
    <mergeCell ref="B31:B33"/>
    <mergeCell ref="C31:C33"/>
    <mergeCell ref="D31:D33"/>
    <mergeCell ref="C77:C78"/>
    <mergeCell ref="D70:D75"/>
    <mergeCell ref="B65:B66"/>
    <mergeCell ref="C65:C66"/>
    <mergeCell ref="D65:D66"/>
    <mergeCell ref="B69:D69"/>
    <mergeCell ref="A2:J2"/>
    <mergeCell ref="A3:J3"/>
    <mergeCell ref="A4:J4"/>
    <mergeCell ref="A6:A7"/>
    <mergeCell ref="B6:C6"/>
    <mergeCell ref="D6:D7"/>
    <mergeCell ref="E6:E7"/>
    <mergeCell ref="F6:G6"/>
    <mergeCell ref="H6:H7"/>
    <mergeCell ref="I6:J6"/>
    <mergeCell ref="A97:C97"/>
    <mergeCell ref="B112:B113"/>
    <mergeCell ref="C112:C113"/>
    <mergeCell ref="B70:B75"/>
    <mergeCell ref="A39:A60"/>
    <mergeCell ref="A70:A86"/>
    <mergeCell ref="B86:D86"/>
    <mergeCell ref="A65:A68"/>
    <mergeCell ref="B85:D85"/>
    <mergeCell ref="C67:D67"/>
    <mergeCell ref="C70:C75"/>
    <mergeCell ref="D77:D78"/>
    <mergeCell ref="C68:D68"/>
    <mergeCell ref="B77:B78"/>
    <mergeCell ref="C58:C60"/>
    <mergeCell ref="D58:D60"/>
    <mergeCell ref="A61:A62"/>
    <mergeCell ref="A38:J38"/>
    <mergeCell ref="B58:B60"/>
    <mergeCell ref="B39:B53"/>
    <mergeCell ref="C39:C53"/>
    <mergeCell ref="D39:D53"/>
    <mergeCell ref="B62:D62"/>
  </mergeCells>
  <pageMargins left="0.70866141732283472" right="0.19685039370078741" top="0.74803149606299213" bottom="0.74803149606299213" header="0.31496062992125984" footer="0.31496062992125984"/>
  <pageSetup paperSize="9" scale="50" fitToHeight="0" orientation="landscape" r:id="rId1"/>
  <rowBreaks count="4" manualBreakCount="4">
    <brk id="24" max="9" man="1"/>
    <brk id="54" max="9" man="1"/>
    <brk id="69" max="9" man="1"/>
    <brk id="9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4"/>
  <sheetViews>
    <sheetView view="pageBreakPreview" topLeftCell="A227" zoomScale="80" zoomScaleNormal="90" zoomScaleSheetLayoutView="80" workbookViewId="0">
      <selection activeCell="B75" sqref="B75:D75"/>
    </sheetView>
  </sheetViews>
  <sheetFormatPr defaultRowHeight="15" x14ac:dyDescent="0.25"/>
  <cols>
    <col min="1" max="1" width="54.28515625" customWidth="1"/>
    <col min="2" max="2" width="27.5703125" customWidth="1"/>
    <col min="3" max="3" width="23.42578125" customWidth="1"/>
    <col min="4" max="4" width="17.5703125" customWidth="1"/>
    <col min="5" max="5" width="16.5703125" customWidth="1"/>
    <col min="6" max="6" width="13.5703125" customWidth="1"/>
    <col min="7" max="7" width="16.28515625" customWidth="1"/>
    <col min="8" max="8" width="18" customWidth="1"/>
    <col min="9" max="9" width="14" customWidth="1"/>
    <col min="10" max="10" width="15.7109375" customWidth="1"/>
    <col min="12" max="12" width="18.28515625" customWidth="1"/>
    <col min="14" max="14" width="15.140625" customWidth="1"/>
  </cols>
  <sheetData>
    <row r="2" spans="1:20" ht="15.75" x14ac:dyDescent="0.25">
      <c r="A2" s="208" t="s">
        <v>0</v>
      </c>
      <c r="B2" s="208"/>
      <c r="C2" s="208"/>
      <c r="D2" s="208"/>
      <c r="E2" s="208"/>
      <c r="F2" s="208"/>
      <c r="G2" s="208"/>
      <c r="H2" s="208"/>
      <c r="I2" s="208"/>
      <c r="J2" s="208"/>
    </row>
    <row r="3" spans="1:20" ht="38.25" customHeight="1" x14ac:dyDescent="0.25">
      <c r="A3" s="209" t="s">
        <v>154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20" ht="15.75" x14ac:dyDescent="0.25">
      <c r="A4" s="210" t="s">
        <v>280</v>
      </c>
      <c r="B4" s="210"/>
      <c r="C4" s="210"/>
      <c r="D4" s="210"/>
      <c r="E4" s="210"/>
      <c r="F4" s="210"/>
      <c r="G4" s="210"/>
      <c r="H4" s="210"/>
      <c r="I4" s="210"/>
      <c r="J4" s="210"/>
    </row>
    <row r="5" spans="1:20" ht="16.5" thickBot="1" x14ac:dyDescent="0.3">
      <c r="A5" s="65"/>
      <c r="B5" s="65"/>
      <c r="C5" s="65"/>
      <c r="D5" s="65"/>
      <c r="E5" s="65"/>
      <c r="F5" s="65"/>
      <c r="G5" s="65"/>
      <c r="H5" s="65"/>
      <c r="I5" s="65"/>
      <c r="J5" s="24"/>
    </row>
    <row r="6" spans="1:20" ht="15.75" x14ac:dyDescent="0.25">
      <c r="A6" s="211" t="s">
        <v>1</v>
      </c>
      <c r="B6" s="213" t="s">
        <v>2</v>
      </c>
      <c r="C6" s="214"/>
      <c r="D6" s="215" t="s">
        <v>3</v>
      </c>
      <c r="E6" s="215" t="s">
        <v>4</v>
      </c>
      <c r="F6" s="217" t="s">
        <v>5</v>
      </c>
      <c r="G6" s="218"/>
      <c r="H6" s="215" t="s">
        <v>6</v>
      </c>
      <c r="I6" s="213" t="s">
        <v>7</v>
      </c>
      <c r="J6" s="219"/>
    </row>
    <row r="7" spans="1:20" ht="32.25" thickBot="1" x14ac:dyDescent="0.3">
      <c r="A7" s="212"/>
      <c r="B7" s="25" t="s">
        <v>8</v>
      </c>
      <c r="C7" s="25" t="s">
        <v>9</v>
      </c>
      <c r="D7" s="216"/>
      <c r="E7" s="216"/>
      <c r="F7" s="26" t="s">
        <v>10</v>
      </c>
      <c r="G7" s="25" t="s">
        <v>11</v>
      </c>
      <c r="H7" s="216"/>
      <c r="I7" s="26" t="s">
        <v>10</v>
      </c>
      <c r="J7" s="27" t="s">
        <v>11</v>
      </c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16.5" thickBot="1" x14ac:dyDescent="0.3">
      <c r="A8" s="264" t="s">
        <v>12</v>
      </c>
      <c r="B8" s="265"/>
      <c r="C8" s="265"/>
      <c r="D8" s="265"/>
      <c r="E8" s="265"/>
      <c r="F8" s="265"/>
      <c r="G8" s="265"/>
      <c r="H8" s="265"/>
      <c r="I8" s="265"/>
      <c r="J8" s="266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18.75" customHeight="1" x14ac:dyDescent="0.25">
      <c r="A9" s="233" t="s">
        <v>110</v>
      </c>
      <c r="B9" s="257" t="s">
        <v>115</v>
      </c>
      <c r="C9" s="258"/>
      <c r="D9" s="259"/>
      <c r="E9" s="55">
        <f>G9</f>
        <v>5.0455690566037701</v>
      </c>
      <c r="F9" s="12"/>
      <c r="G9" s="55">
        <v>5.0455690566037701</v>
      </c>
      <c r="H9" s="55">
        <f>J9</f>
        <v>15.987489999999999</v>
      </c>
      <c r="I9" s="12"/>
      <c r="J9" s="13">
        <f>15987.49/1000</f>
        <v>15.987489999999999</v>
      </c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 ht="23.25" customHeight="1" x14ac:dyDescent="0.25">
      <c r="A10" s="234"/>
      <c r="B10" s="246" t="s">
        <v>121</v>
      </c>
      <c r="C10" s="247"/>
      <c r="D10" s="248"/>
      <c r="E10" s="54">
        <f t="shared" ref="E10" si="0">G10</f>
        <v>18.118802863396198</v>
      </c>
      <c r="F10" s="58"/>
      <c r="G10" s="54">
        <v>18.118802863396198</v>
      </c>
      <c r="H10" s="54">
        <f t="shared" ref="H10" si="1">J10</f>
        <v>18.839110000000002</v>
      </c>
      <c r="I10" s="58"/>
      <c r="J10" s="59">
        <v>18.839110000000002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0" ht="23.25" customHeight="1" x14ac:dyDescent="0.25">
      <c r="A11" s="234"/>
      <c r="B11" s="243" t="s">
        <v>176</v>
      </c>
      <c r="C11" s="244"/>
      <c r="D11" s="245"/>
      <c r="E11" s="133">
        <f t="shared" ref="E11:E18" si="2">G11</f>
        <v>17.79795648</v>
      </c>
      <c r="F11" s="136"/>
      <c r="G11" s="133">
        <v>17.79795648</v>
      </c>
      <c r="H11" s="133">
        <f>J11</f>
        <v>15.664110000000001</v>
      </c>
      <c r="I11" s="136"/>
      <c r="J11" s="57">
        <v>15.664110000000001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ht="26.25" customHeight="1" x14ac:dyDescent="0.25">
      <c r="A12" s="234"/>
      <c r="B12" s="246" t="s">
        <v>177</v>
      </c>
      <c r="C12" s="247"/>
      <c r="D12" s="248"/>
      <c r="E12" s="54">
        <f t="shared" si="2"/>
        <v>11.28036035</v>
      </c>
      <c r="F12" s="58"/>
      <c r="G12" s="54">
        <v>11.28036035</v>
      </c>
      <c r="H12" s="54">
        <f>J12</f>
        <v>6.7687700000000008</v>
      </c>
      <c r="I12" s="58"/>
      <c r="J12" s="59">
        <v>6.7687700000000008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</row>
    <row r="13" spans="1:20" ht="24.75" customHeight="1" x14ac:dyDescent="0.25">
      <c r="A13" s="234"/>
      <c r="B13" s="246" t="s">
        <v>178</v>
      </c>
      <c r="C13" s="247"/>
      <c r="D13" s="248"/>
      <c r="E13" s="54">
        <f t="shared" si="2"/>
        <v>6.0774405203150899</v>
      </c>
      <c r="F13" s="58"/>
      <c r="G13" s="54">
        <v>6.0774405203150899</v>
      </c>
      <c r="H13" s="54">
        <f>J13</f>
        <v>2.94245</v>
      </c>
      <c r="I13" s="58"/>
      <c r="J13" s="59">
        <v>2.94245</v>
      </c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spans="1:20" ht="24.75" customHeight="1" thickBot="1" x14ac:dyDescent="0.3">
      <c r="A14" s="234"/>
      <c r="B14" s="197" t="s">
        <v>198</v>
      </c>
      <c r="C14" s="198"/>
      <c r="D14" s="199"/>
      <c r="E14" s="131">
        <f t="shared" si="2"/>
        <v>1.88180072968491</v>
      </c>
      <c r="F14" s="77"/>
      <c r="G14" s="131">
        <v>1.88180072968491</v>
      </c>
      <c r="H14" s="131"/>
      <c r="I14" s="77"/>
      <c r="J14" s="73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ht="62.25" customHeight="1" x14ac:dyDescent="0.25">
      <c r="A15" s="233" t="s">
        <v>111</v>
      </c>
      <c r="B15" s="105" t="s">
        <v>218</v>
      </c>
      <c r="C15" s="105" t="s">
        <v>219</v>
      </c>
      <c r="D15" s="72">
        <v>1147.0734399999999</v>
      </c>
      <c r="E15" s="55">
        <f t="shared" si="2"/>
        <v>334.69677000000001</v>
      </c>
      <c r="F15" s="157" t="s">
        <v>284</v>
      </c>
      <c r="G15" s="55">
        <f>334696.77/1000</f>
        <v>334.69677000000001</v>
      </c>
      <c r="H15" s="55">
        <f>J15</f>
        <v>334.69676399999997</v>
      </c>
      <c r="I15" s="74" t="s">
        <v>263</v>
      </c>
      <c r="J15" s="13">
        <f>278913.97*1.2/1000</f>
        <v>334.69676399999997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ht="45" customHeight="1" x14ac:dyDescent="0.25">
      <c r="A16" s="234"/>
      <c r="B16" s="142" t="s">
        <v>321</v>
      </c>
      <c r="C16" s="144" t="s">
        <v>322</v>
      </c>
      <c r="D16" s="148">
        <v>4250</v>
      </c>
      <c r="E16" s="133">
        <f>G16</f>
        <v>1000</v>
      </c>
      <c r="F16" s="100" t="s">
        <v>323</v>
      </c>
      <c r="G16" s="133">
        <f>1000000/1000</f>
        <v>1000</v>
      </c>
      <c r="H16" s="133">
        <f>J16</f>
        <v>74.361516000000009</v>
      </c>
      <c r="I16" s="132" t="s">
        <v>350</v>
      </c>
      <c r="J16" s="57">
        <f>61967.93*1.2/1000</f>
        <v>74.361516000000009</v>
      </c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spans="1:20" ht="26.25" customHeight="1" x14ac:dyDescent="0.25">
      <c r="A17" s="234"/>
      <c r="B17" s="220" t="s">
        <v>325</v>
      </c>
      <c r="C17" s="220"/>
      <c r="D17" s="220"/>
      <c r="E17" s="90"/>
      <c r="F17" s="90"/>
      <c r="G17" s="90"/>
      <c r="H17" s="133">
        <f>J17</f>
        <v>569.70873600000004</v>
      </c>
      <c r="I17" s="58" t="s">
        <v>13</v>
      </c>
      <c r="J17" s="57">
        <f>474757.28*1.2/1000</f>
        <v>569.70873600000004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0" ht="23.25" customHeight="1" x14ac:dyDescent="0.25">
      <c r="A18" s="234"/>
      <c r="B18" s="243" t="s">
        <v>115</v>
      </c>
      <c r="C18" s="244"/>
      <c r="D18" s="245"/>
      <c r="E18" s="133">
        <f t="shared" si="2"/>
        <v>5.8324147169811305</v>
      </c>
      <c r="F18" s="136"/>
      <c r="G18" s="133">
        <v>5.8324147169811305</v>
      </c>
      <c r="H18" s="133">
        <f>J18</f>
        <v>18.48096</v>
      </c>
      <c r="I18" s="136"/>
      <c r="J18" s="57">
        <f>18480.96/1000</f>
        <v>18.48096</v>
      </c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0" ht="26.25" customHeight="1" x14ac:dyDescent="0.25">
      <c r="A19" s="234"/>
      <c r="B19" s="246" t="s">
        <v>121</v>
      </c>
      <c r="C19" s="247"/>
      <c r="D19" s="248"/>
      <c r="E19" s="54">
        <f t="shared" ref="E19" si="3">G19</f>
        <v>35.654681923018899</v>
      </c>
      <c r="F19" s="58"/>
      <c r="G19" s="54">
        <v>35.654681923018899</v>
      </c>
      <c r="H19" s="54">
        <f t="shared" ref="H19" si="4">J19</f>
        <v>60.391120000000001</v>
      </c>
      <c r="I19" s="58"/>
      <c r="J19" s="59">
        <v>60.391120000000001</v>
      </c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ht="26.25" customHeight="1" x14ac:dyDescent="0.25">
      <c r="A20" s="234"/>
      <c r="B20" s="243" t="s">
        <v>176</v>
      </c>
      <c r="C20" s="244"/>
      <c r="D20" s="245"/>
      <c r="E20" s="133">
        <f t="shared" ref="E20:E25" si="5">G20</f>
        <v>40.719011460000004</v>
      </c>
      <c r="F20" s="136"/>
      <c r="G20" s="133">
        <v>40.719011460000004</v>
      </c>
      <c r="H20" s="133">
        <f t="shared" ref="H20:H29" si="6">J20</f>
        <v>8.5115400000000001</v>
      </c>
      <c r="I20" s="136"/>
      <c r="J20" s="57">
        <v>8.5115400000000001</v>
      </c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ht="26.25" customHeight="1" x14ac:dyDescent="0.25">
      <c r="A21" s="234"/>
      <c r="B21" s="246" t="s">
        <v>177</v>
      </c>
      <c r="C21" s="247"/>
      <c r="D21" s="248"/>
      <c r="E21" s="54">
        <f t="shared" si="5"/>
        <v>5.6184932500000002</v>
      </c>
      <c r="F21" s="58"/>
      <c r="G21" s="54">
        <v>5.6184932500000002</v>
      </c>
      <c r="H21" s="54">
        <f t="shared" si="6"/>
        <v>1.70373</v>
      </c>
      <c r="I21" s="58"/>
      <c r="J21" s="59">
        <v>1.70373</v>
      </c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ht="26.25" customHeight="1" x14ac:dyDescent="0.25">
      <c r="A22" s="234"/>
      <c r="B22" s="243" t="s">
        <v>178</v>
      </c>
      <c r="C22" s="244"/>
      <c r="D22" s="245"/>
      <c r="E22" s="133">
        <f t="shared" si="5"/>
        <v>2.4704124310945299</v>
      </c>
      <c r="F22" s="136"/>
      <c r="G22" s="133">
        <v>2.4704124310945299</v>
      </c>
      <c r="H22" s="133">
        <f t="shared" si="6"/>
        <v>3.3176199999999998</v>
      </c>
      <c r="I22" s="136"/>
      <c r="J22" s="57">
        <v>3.3176199999999998</v>
      </c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spans="1:20" ht="26.25" customHeight="1" x14ac:dyDescent="0.25">
      <c r="A23" s="234"/>
      <c r="B23" s="243" t="s">
        <v>198</v>
      </c>
      <c r="C23" s="244"/>
      <c r="D23" s="245"/>
      <c r="E23" s="133">
        <f t="shared" si="5"/>
        <v>9.4541308189054707</v>
      </c>
      <c r="F23" s="136"/>
      <c r="G23" s="133">
        <v>9.4541308189054707</v>
      </c>
      <c r="H23" s="133">
        <f t="shared" si="6"/>
        <v>19.915130000000001</v>
      </c>
      <c r="I23" s="136"/>
      <c r="J23" s="57">
        <v>19.915130000000001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</row>
    <row r="24" spans="1:20" ht="26.25" customHeight="1" x14ac:dyDescent="0.25">
      <c r="A24" s="234"/>
      <c r="B24" s="246" t="s">
        <v>199</v>
      </c>
      <c r="C24" s="247"/>
      <c r="D24" s="248"/>
      <c r="E24" s="54">
        <f t="shared" si="5"/>
        <v>97.748848267332406</v>
      </c>
      <c r="F24" s="58"/>
      <c r="G24" s="54">
        <v>97.748848267332406</v>
      </c>
      <c r="H24" s="54">
        <f t="shared" si="6"/>
        <v>216.61891</v>
      </c>
      <c r="I24" s="58"/>
      <c r="J24" s="59">
        <v>216.61891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spans="1:20" ht="26.25" customHeight="1" x14ac:dyDescent="0.25">
      <c r="A25" s="234"/>
      <c r="B25" s="246" t="s">
        <v>200</v>
      </c>
      <c r="C25" s="247"/>
      <c r="D25" s="248"/>
      <c r="E25" s="54">
        <f t="shared" si="5"/>
        <v>136.24546289789799</v>
      </c>
      <c r="F25" s="58"/>
      <c r="G25" s="54">
        <v>136.24546289789799</v>
      </c>
      <c r="H25" s="54">
        <f t="shared" si="6"/>
        <v>11.650319999999999</v>
      </c>
      <c r="I25" s="58"/>
      <c r="J25" s="59">
        <v>11.650319999999999</v>
      </c>
      <c r="K25" s="41"/>
      <c r="L25" s="41"/>
      <c r="M25" s="41"/>
      <c r="N25" s="41"/>
      <c r="O25" s="41"/>
      <c r="P25" s="41"/>
      <c r="Q25" s="41"/>
      <c r="R25" s="41"/>
      <c r="S25" s="41"/>
      <c r="T25" s="41"/>
    </row>
    <row r="26" spans="1:20" ht="26.25" customHeight="1" x14ac:dyDescent="0.25">
      <c r="A26" s="234"/>
      <c r="B26" s="243" t="s">
        <v>285</v>
      </c>
      <c r="C26" s="244"/>
      <c r="D26" s="245"/>
      <c r="E26" s="133">
        <f>G26</f>
        <v>8.2909599999999983</v>
      </c>
      <c r="F26" s="136"/>
      <c r="G26" s="133">
        <f>8290.96/1000</f>
        <v>8.2909599999999983</v>
      </c>
      <c r="H26" s="133">
        <f>J26</f>
        <v>3.92964</v>
      </c>
      <c r="I26" s="136"/>
      <c r="J26" s="57">
        <v>3.92964</v>
      </c>
      <c r="K26" s="41"/>
      <c r="L26" s="41"/>
      <c r="M26" s="41"/>
      <c r="N26" s="41"/>
      <c r="O26" s="41"/>
      <c r="P26" s="41"/>
      <c r="Q26" s="41"/>
      <c r="R26" s="41"/>
      <c r="S26" s="41"/>
      <c r="T26" s="41"/>
    </row>
    <row r="27" spans="1:20" ht="26.25" customHeight="1" x14ac:dyDescent="0.25">
      <c r="A27" s="234"/>
      <c r="B27" s="243" t="s">
        <v>286</v>
      </c>
      <c r="C27" s="244"/>
      <c r="D27" s="245"/>
      <c r="E27" s="133">
        <f>G27</f>
        <v>33.133590285233304</v>
      </c>
      <c r="F27" s="136"/>
      <c r="G27" s="133">
        <v>33.133590285233304</v>
      </c>
      <c r="H27" s="133">
        <f>J27</f>
        <v>76.221299999999999</v>
      </c>
      <c r="I27" s="136"/>
      <c r="J27" s="57">
        <v>76.221299999999999</v>
      </c>
      <c r="K27" s="41"/>
      <c r="L27" s="41"/>
      <c r="M27" s="41"/>
      <c r="N27" s="41"/>
      <c r="O27" s="41"/>
      <c r="P27" s="41"/>
      <c r="Q27" s="41"/>
      <c r="R27" s="41"/>
      <c r="S27" s="41"/>
      <c r="T27" s="41"/>
    </row>
    <row r="28" spans="1:20" ht="26.25" customHeight="1" thickBot="1" x14ac:dyDescent="0.3">
      <c r="A28" s="235"/>
      <c r="B28" s="197" t="s">
        <v>324</v>
      </c>
      <c r="C28" s="198"/>
      <c r="D28" s="199"/>
      <c r="E28" s="131">
        <f>G28</f>
        <v>45.572251300000005</v>
      </c>
      <c r="F28" s="77"/>
      <c r="G28" s="131">
        <f>45572.2513/1000</f>
        <v>45.572251300000005</v>
      </c>
      <c r="H28" s="131" t="s">
        <v>13</v>
      </c>
      <c r="I28" s="77" t="s">
        <v>13</v>
      </c>
      <c r="J28" s="73" t="s">
        <v>13</v>
      </c>
      <c r="K28" s="41"/>
      <c r="L28" s="41"/>
      <c r="M28" s="41"/>
      <c r="N28" s="41"/>
      <c r="O28" s="41"/>
      <c r="P28" s="41"/>
      <c r="Q28" s="41"/>
      <c r="R28" s="41"/>
      <c r="S28" s="41"/>
      <c r="T28" s="41"/>
    </row>
    <row r="29" spans="1:20" ht="29.25" customHeight="1" x14ac:dyDescent="0.25">
      <c r="A29" s="233" t="s">
        <v>112</v>
      </c>
      <c r="B29" s="257" t="s">
        <v>115</v>
      </c>
      <c r="C29" s="258"/>
      <c r="D29" s="259"/>
      <c r="E29" s="55">
        <f t="shared" ref="E29:E47" si="7">G29</f>
        <v>3.3695176100628901</v>
      </c>
      <c r="F29" s="12"/>
      <c r="G29" s="55">
        <v>3.3695176100628901</v>
      </c>
      <c r="H29" s="55">
        <f t="shared" si="6"/>
        <v>10.677100000000001</v>
      </c>
      <c r="I29" s="12"/>
      <c r="J29" s="13">
        <f>10677.1/1000</f>
        <v>10.677100000000001</v>
      </c>
      <c r="K29" s="41"/>
      <c r="L29" s="41"/>
      <c r="M29" s="41"/>
      <c r="N29" s="41"/>
      <c r="O29" s="41"/>
      <c r="P29" s="41"/>
      <c r="Q29" s="41"/>
      <c r="R29" s="41"/>
      <c r="S29" s="41"/>
      <c r="T29" s="41"/>
    </row>
    <row r="30" spans="1:20" ht="27.75" customHeight="1" x14ac:dyDescent="0.25">
      <c r="A30" s="234"/>
      <c r="B30" s="246" t="s">
        <v>121</v>
      </c>
      <c r="C30" s="247"/>
      <c r="D30" s="248"/>
      <c r="E30" s="54">
        <f t="shared" si="7"/>
        <v>31.099323509937101</v>
      </c>
      <c r="F30" s="58"/>
      <c r="G30" s="54">
        <v>31.099323509937101</v>
      </c>
      <c r="H30" s="54">
        <f t="shared" ref="H30" si="8">J30</f>
        <v>62.45337</v>
      </c>
      <c r="I30" s="58"/>
      <c r="J30" s="59">
        <v>62.45337</v>
      </c>
      <c r="K30" s="41"/>
      <c r="L30" s="41"/>
      <c r="M30" s="41"/>
      <c r="N30" s="41"/>
      <c r="O30" s="41"/>
      <c r="P30" s="41"/>
      <c r="Q30" s="41"/>
      <c r="R30" s="41"/>
      <c r="S30" s="41"/>
      <c r="T30" s="41"/>
    </row>
    <row r="31" spans="1:20" ht="29.25" customHeight="1" x14ac:dyDescent="0.25">
      <c r="A31" s="234"/>
      <c r="B31" s="243" t="s">
        <v>176</v>
      </c>
      <c r="C31" s="244"/>
      <c r="D31" s="245"/>
      <c r="E31" s="133">
        <f t="shared" ref="E31:E36" si="9">G31</f>
        <v>41.21805998</v>
      </c>
      <c r="F31" s="136"/>
      <c r="G31" s="133">
        <v>41.21805998</v>
      </c>
      <c r="H31" s="133">
        <f>J31</f>
        <v>6.5264199999999999</v>
      </c>
      <c r="I31" s="136"/>
      <c r="J31" s="57">
        <v>6.5264199999999999</v>
      </c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spans="1:20" ht="31.5" customHeight="1" x14ac:dyDescent="0.25">
      <c r="A32" s="234"/>
      <c r="B32" s="246" t="s">
        <v>177</v>
      </c>
      <c r="C32" s="247"/>
      <c r="D32" s="248"/>
      <c r="E32" s="54">
        <f t="shared" si="9"/>
        <v>4.4109702500000001</v>
      </c>
      <c r="F32" s="58"/>
      <c r="G32" s="54">
        <v>4.4109702500000001</v>
      </c>
      <c r="H32" s="54">
        <f>J32</f>
        <v>1.70373</v>
      </c>
      <c r="I32" s="58"/>
      <c r="J32" s="59">
        <v>1.70373</v>
      </c>
      <c r="K32" s="41"/>
      <c r="L32" s="41"/>
      <c r="M32" s="41"/>
      <c r="N32" s="41"/>
      <c r="O32" s="41"/>
      <c r="P32" s="41"/>
      <c r="Q32" s="41"/>
      <c r="R32" s="41"/>
      <c r="S32" s="41"/>
      <c r="T32" s="41"/>
    </row>
    <row r="33" spans="1:20" ht="30" customHeight="1" x14ac:dyDescent="0.25">
      <c r="A33" s="234"/>
      <c r="B33" s="246" t="s">
        <v>178</v>
      </c>
      <c r="C33" s="247"/>
      <c r="D33" s="248"/>
      <c r="E33" s="54">
        <f t="shared" si="9"/>
        <v>1.7038062619402998</v>
      </c>
      <c r="F33" s="58"/>
      <c r="G33" s="54">
        <v>1.7038062619402998</v>
      </c>
      <c r="H33" s="54">
        <f>J33</f>
        <v>1.2235799999999999</v>
      </c>
      <c r="I33" s="58"/>
      <c r="J33" s="59">
        <v>1.2235799999999999</v>
      </c>
      <c r="K33" s="41"/>
      <c r="L33" s="41"/>
      <c r="M33" s="41"/>
      <c r="N33" s="41"/>
      <c r="O33" s="41"/>
      <c r="P33" s="41"/>
      <c r="Q33" s="41"/>
      <c r="R33" s="41"/>
      <c r="S33" s="41"/>
      <c r="T33" s="41"/>
    </row>
    <row r="34" spans="1:20" ht="30" customHeight="1" x14ac:dyDescent="0.25">
      <c r="A34" s="234"/>
      <c r="B34" s="243" t="s">
        <v>198</v>
      </c>
      <c r="C34" s="244"/>
      <c r="D34" s="245"/>
      <c r="E34" s="133">
        <f t="shared" si="9"/>
        <v>12.854578788059699</v>
      </c>
      <c r="F34" s="136"/>
      <c r="G34" s="133">
        <v>12.854578788059699</v>
      </c>
      <c r="H34" s="133">
        <f>J34</f>
        <v>32.274080000000005</v>
      </c>
      <c r="I34" s="136"/>
      <c r="J34" s="57">
        <v>32.274080000000005</v>
      </c>
      <c r="K34" s="41"/>
      <c r="L34" s="41"/>
      <c r="M34" s="41"/>
      <c r="N34" s="41"/>
      <c r="O34" s="41"/>
      <c r="P34" s="41"/>
      <c r="Q34" s="41"/>
      <c r="R34" s="41"/>
      <c r="S34" s="41"/>
      <c r="T34" s="41"/>
    </row>
    <row r="35" spans="1:20" ht="30" customHeight="1" x14ac:dyDescent="0.25">
      <c r="A35" s="234"/>
      <c r="B35" s="246" t="s">
        <v>199</v>
      </c>
      <c r="C35" s="247"/>
      <c r="D35" s="248"/>
      <c r="E35" s="54">
        <f t="shared" si="9"/>
        <v>27.024974784022803</v>
      </c>
      <c r="F35" s="58"/>
      <c r="G35" s="54">
        <v>27.024974784022803</v>
      </c>
      <c r="H35" s="54">
        <f>J35</f>
        <v>16.629349999999999</v>
      </c>
      <c r="I35" s="58"/>
      <c r="J35" s="59">
        <v>16.629349999999999</v>
      </c>
      <c r="K35" s="41"/>
      <c r="L35" s="41"/>
      <c r="M35" s="41"/>
      <c r="N35" s="41"/>
      <c r="O35" s="41"/>
      <c r="P35" s="41"/>
      <c r="Q35" s="41"/>
      <c r="R35" s="41"/>
      <c r="S35" s="41"/>
      <c r="T35" s="41"/>
    </row>
    <row r="36" spans="1:20" ht="30" customHeight="1" thickBot="1" x14ac:dyDescent="0.3">
      <c r="A36" s="235"/>
      <c r="B36" s="261" t="s">
        <v>200</v>
      </c>
      <c r="C36" s="262"/>
      <c r="D36" s="263"/>
      <c r="E36" s="130">
        <f t="shared" si="9"/>
        <v>9.8063988159771789</v>
      </c>
      <c r="F36" s="135"/>
      <c r="G36" s="130">
        <v>9.8063988159771789</v>
      </c>
      <c r="H36" s="130"/>
      <c r="I36" s="135"/>
      <c r="J36" s="109"/>
      <c r="K36" s="41"/>
      <c r="L36" s="41"/>
      <c r="M36" s="41"/>
      <c r="N36" s="41"/>
      <c r="O36" s="41"/>
      <c r="P36" s="41"/>
      <c r="Q36" s="41"/>
      <c r="R36" s="41"/>
      <c r="S36" s="41"/>
      <c r="T36" s="41"/>
    </row>
    <row r="37" spans="1:20" ht="27" customHeight="1" x14ac:dyDescent="0.25">
      <c r="A37" s="233" t="s">
        <v>113</v>
      </c>
      <c r="B37" s="257" t="s">
        <v>115</v>
      </c>
      <c r="C37" s="258"/>
      <c r="D37" s="259"/>
      <c r="E37" s="55">
        <f t="shared" si="7"/>
        <v>3.6916761006289298</v>
      </c>
      <c r="F37" s="12"/>
      <c r="G37" s="55">
        <v>3.6916761006289298</v>
      </c>
      <c r="H37" s="55">
        <f>J37</f>
        <v>11.698120000000001</v>
      </c>
      <c r="I37" s="12"/>
      <c r="J37" s="13">
        <f>11698.12/1000</f>
        <v>11.698120000000001</v>
      </c>
      <c r="K37" s="41"/>
      <c r="L37" s="41"/>
      <c r="M37" s="41"/>
      <c r="N37" s="41"/>
      <c r="O37" s="41"/>
      <c r="P37" s="41"/>
      <c r="Q37" s="41"/>
      <c r="R37" s="41"/>
      <c r="S37" s="41"/>
      <c r="T37" s="41"/>
    </row>
    <row r="38" spans="1:20" ht="27.75" customHeight="1" x14ac:dyDescent="0.25">
      <c r="A38" s="234"/>
      <c r="B38" s="246" t="s">
        <v>121</v>
      </c>
      <c r="C38" s="247"/>
      <c r="D38" s="248"/>
      <c r="E38" s="54">
        <f t="shared" si="7"/>
        <v>33.955770139371104</v>
      </c>
      <c r="F38" s="58"/>
      <c r="G38" s="54">
        <v>33.955770139371104</v>
      </c>
      <c r="H38" s="54">
        <f t="shared" ref="H38" si="10">J38</f>
        <v>68.117009999999993</v>
      </c>
      <c r="I38" s="58"/>
      <c r="J38" s="59">
        <v>68.117009999999993</v>
      </c>
      <c r="K38" s="41"/>
      <c r="L38" s="41"/>
      <c r="M38" s="41"/>
      <c r="N38" s="41"/>
      <c r="O38" s="41"/>
      <c r="P38" s="41"/>
      <c r="Q38" s="41"/>
      <c r="R38" s="41"/>
      <c r="S38" s="41"/>
      <c r="T38" s="41"/>
    </row>
    <row r="39" spans="1:20" ht="27.75" customHeight="1" x14ac:dyDescent="0.25">
      <c r="A39" s="234"/>
      <c r="B39" s="243" t="s">
        <v>176</v>
      </c>
      <c r="C39" s="244"/>
      <c r="D39" s="245"/>
      <c r="E39" s="133">
        <f t="shared" ref="E39:E44" si="11">G39</f>
        <v>45.016528460000004</v>
      </c>
      <c r="F39" s="136"/>
      <c r="G39" s="133">
        <v>45.016528460000004</v>
      </c>
      <c r="H39" s="133">
        <f t="shared" ref="H39:H47" si="12">J39</f>
        <v>7.2729399999999993</v>
      </c>
      <c r="I39" s="136"/>
      <c r="J39" s="57">
        <v>7.2729399999999993</v>
      </c>
      <c r="K39" s="41"/>
      <c r="L39" s="41"/>
      <c r="M39" s="41"/>
      <c r="N39" s="41"/>
      <c r="O39" s="41"/>
      <c r="P39" s="41"/>
      <c r="Q39" s="41"/>
      <c r="R39" s="41"/>
      <c r="S39" s="41"/>
      <c r="T39" s="41"/>
    </row>
    <row r="40" spans="1:20" ht="28.5" customHeight="1" x14ac:dyDescent="0.25">
      <c r="A40" s="234"/>
      <c r="B40" s="246" t="s">
        <v>177</v>
      </c>
      <c r="C40" s="247"/>
      <c r="D40" s="248"/>
      <c r="E40" s="54">
        <f t="shared" si="11"/>
        <v>5.2726275999999999</v>
      </c>
      <c r="F40" s="58"/>
      <c r="G40" s="54">
        <v>5.2726275999999999</v>
      </c>
      <c r="H40" s="54">
        <f t="shared" si="12"/>
        <v>3.2783000000000002</v>
      </c>
      <c r="I40" s="58"/>
      <c r="J40" s="59">
        <v>3.2783000000000002</v>
      </c>
      <c r="K40" s="41"/>
      <c r="L40" s="41"/>
      <c r="M40" s="41"/>
      <c r="N40" s="41"/>
      <c r="O40" s="41"/>
      <c r="P40" s="41"/>
      <c r="Q40" s="41"/>
      <c r="R40" s="41"/>
      <c r="S40" s="41"/>
      <c r="T40" s="41"/>
    </row>
    <row r="41" spans="1:20" ht="25.5" customHeight="1" x14ac:dyDescent="0.25">
      <c r="A41" s="234"/>
      <c r="B41" s="246" t="s">
        <v>178</v>
      </c>
      <c r="C41" s="247"/>
      <c r="D41" s="248"/>
      <c r="E41" s="54">
        <f t="shared" si="11"/>
        <v>4.3596540515754594</v>
      </c>
      <c r="F41" s="58"/>
      <c r="G41" s="54">
        <v>4.3596540515754594</v>
      </c>
      <c r="H41" s="54">
        <f t="shared" si="12"/>
        <v>5.3539200000000005</v>
      </c>
      <c r="I41" s="58"/>
      <c r="J41" s="59">
        <v>5.3539200000000005</v>
      </c>
      <c r="K41" s="41"/>
      <c r="L41" s="41"/>
      <c r="M41" s="41"/>
      <c r="N41" s="41"/>
      <c r="O41" s="41"/>
      <c r="P41" s="41"/>
      <c r="Q41" s="41"/>
      <c r="R41" s="41"/>
      <c r="S41" s="41"/>
      <c r="T41" s="41"/>
    </row>
    <row r="42" spans="1:20" ht="25.5" customHeight="1" x14ac:dyDescent="0.25">
      <c r="A42" s="234"/>
      <c r="B42" s="243" t="s">
        <v>198</v>
      </c>
      <c r="C42" s="244"/>
      <c r="D42" s="245"/>
      <c r="E42" s="133">
        <f t="shared" si="11"/>
        <v>29.3221706564245</v>
      </c>
      <c r="F42" s="136"/>
      <c r="G42" s="133">
        <v>29.3221706564245</v>
      </c>
      <c r="H42" s="133">
        <f t="shared" si="12"/>
        <v>70.601710000000011</v>
      </c>
      <c r="I42" s="136"/>
      <c r="J42" s="57">
        <v>70.601710000000011</v>
      </c>
      <c r="K42" s="41"/>
      <c r="L42" s="41"/>
      <c r="M42" s="41"/>
      <c r="N42" s="41"/>
      <c r="O42" s="41"/>
      <c r="P42" s="41"/>
      <c r="Q42" s="41"/>
      <c r="R42" s="41"/>
      <c r="S42" s="41"/>
      <c r="T42" s="41"/>
    </row>
    <row r="43" spans="1:20" ht="25.5" customHeight="1" x14ac:dyDescent="0.25">
      <c r="A43" s="234"/>
      <c r="B43" s="246" t="s">
        <v>199</v>
      </c>
      <c r="C43" s="247"/>
      <c r="D43" s="248"/>
      <c r="E43" s="54">
        <f t="shared" si="11"/>
        <v>52.461067756621993</v>
      </c>
      <c r="F43" s="58"/>
      <c r="G43" s="54">
        <v>52.461067756621993</v>
      </c>
      <c r="H43" s="54">
        <f t="shared" si="12"/>
        <v>20.057359999999999</v>
      </c>
      <c r="I43" s="58"/>
      <c r="J43" s="59">
        <v>20.057359999999999</v>
      </c>
      <c r="K43" s="41"/>
      <c r="L43" s="41"/>
      <c r="M43" s="41"/>
      <c r="N43" s="41"/>
      <c r="O43" s="41"/>
      <c r="P43" s="41"/>
      <c r="Q43" s="41"/>
      <c r="R43" s="41"/>
      <c r="S43" s="41"/>
      <c r="T43" s="41"/>
    </row>
    <row r="44" spans="1:20" ht="25.5" customHeight="1" x14ac:dyDescent="0.25">
      <c r="A44" s="234"/>
      <c r="B44" s="246" t="s">
        <v>200</v>
      </c>
      <c r="C44" s="247"/>
      <c r="D44" s="248"/>
      <c r="E44" s="54">
        <f t="shared" si="11"/>
        <v>15.442303274011</v>
      </c>
      <c r="F44" s="58"/>
      <c r="G44" s="54">
        <v>15.442303274011</v>
      </c>
      <c r="H44" s="54">
        <f t="shared" si="12"/>
        <v>8.6048399999999994</v>
      </c>
      <c r="I44" s="58"/>
      <c r="J44" s="59">
        <v>8.6048399999999994</v>
      </c>
      <c r="K44" s="41"/>
      <c r="L44" s="41"/>
      <c r="M44" s="41"/>
      <c r="N44" s="41"/>
      <c r="O44" s="41"/>
      <c r="P44" s="41"/>
      <c r="Q44" s="41"/>
      <c r="R44" s="41"/>
      <c r="S44" s="41"/>
      <c r="T44" s="41"/>
    </row>
    <row r="45" spans="1:20" ht="25.5" customHeight="1" x14ac:dyDescent="0.25">
      <c r="A45" s="234"/>
      <c r="B45" s="243" t="s">
        <v>285</v>
      </c>
      <c r="C45" s="244"/>
      <c r="D45" s="245"/>
      <c r="E45" s="133">
        <f>G45</f>
        <v>6.0568999999999997</v>
      </c>
      <c r="F45" s="136"/>
      <c r="G45" s="133">
        <f>6056.9/1000</f>
        <v>6.0568999999999997</v>
      </c>
      <c r="H45" s="133">
        <f t="shared" si="12"/>
        <v>1.62046</v>
      </c>
      <c r="I45" s="136"/>
      <c r="J45" s="57">
        <f>1620.46/1000</f>
        <v>1.62046</v>
      </c>
      <c r="K45" s="41"/>
      <c r="L45" s="41"/>
      <c r="M45" s="41"/>
      <c r="N45" s="41"/>
      <c r="O45" s="41"/>
      <c r="P45" s="41"/>
      <c r="Q45" s="41"/>
      <c r="R45" s="41"/>
      <c r="S45" s="41"/>
      <c r="T45" s="41"/>
    </row>
    <row r="46" spans="1:20" ht="32.25" customHeight="1" thickBot="1" x14ac:dyDescent="0.3">
      <c r="A46" s="234"/>
      <c r="B46" s="243" t="s">
        <v>286</v>
      </c>
      <c r="C46" s="244"/>
      <c r="D46" s="245"/>
      <c r="E46" s="133">
        <f>G46</f>
        <v>1.02595832205683</v>
      </c>
      <c r="F46" s="136"/>
      <c r="G46" s="133">
        <v>1.02595832205683</v>
      </c>
      <c r="H46" s="133"/>
      <c r="I46" s="136"/>
      <c r="J46" s="57"/>
      <c r="K46" s="41"/>
      <c r="L46" s="41"/>
      <c r="M46" s="41"/>
      <c r="N46" s="41"/>
      <c r="O46" s="41"/>
      <c r="P46" s="41"/>
      <c r="Q46" s="41"/>
      <c r="R46" s="41"/>
      <c r="S46" s="41"/>
      <c r="T46" s="41"/>
    </row>
    <row r="47" spans="1:20" ht="29.25" customHeight="1" x14ac:dyDescent="0.25">
      <c r="A47" s="273" t="s">
        <v>114</v>
      </c>
      <c r="B47" s="257" t="s">
        <v>115</v>
      </c>
      <c r="C47" s="258"/>
      <c r="D47" s="259"/>
      <c r="E47" s="55">
        <f t="shared" si="7"/>
        <v>3.9513449056603798</v>
      </c>
      <c r="F47" s="12"/>
      <c r="G47" s="55">
        <v>3.9513449056603798</v>
      </c>
      <c r="H47" s="55">
        <f t="shared" si="12"/>
        <v>12.5206</v>
      </c>
      <c r="I47" s="12"/>
      <c r="J47" s="13">
        <f>12520.6/1000</f>
        <v>12.5206</v>
      </c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1:20" ht="29.25" customHeight="1" x14ac:dyDescent="0.25">
      <c r="A48" s="274"/>
      <c r="B48" s="246" t="s">
        <v>121</v>
      </c>
      <c r="C48" s="247"/>
      <c r="D48" s="248"/>
      <c r="E48" s="54">
        <f t="shared" ref="E48" si="13">G48</f>
        <v>42.284036694339598</v>
      </c>
      <c r="F48" s="58"/>
      <c r="G48" s="54">
        <v>42.284036694339598</v>
      </c>
      <c r="H48" s="54">
        <f t="shared" ref="H48" si="14">J48</f>
        <v>88.50124000000001</v>
      </c>
      <c r="I48" s="58"/>
      <c r="J48" s="59">
        <v>88.50124000000001</v>
      </c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1:20" ht="29.25" customHeight="1" x14ac:dyDescent="0.25">
      <c r="A49" s="274"/>
      <c r="B49" s="243" t="s">
        <v>176</v>
      </c>
      <c r="C49" s="244"/>
      <c r="D49" s="245"/>
      <c r="E49" s="133">
        <f t="shared" ref="E49:E64" si="15">G49</f>
        <v>59.897637600000003</v>
      </c>
      <c r="F49" s="136"/>
      <c r="G49" s="133">
        <v>59.897637600000003</v>
      </c>
      <c r="H49" s="133">
        <f t="shared" ref="H49:H64" si="16">J49</f>
        <v>13.04852</v>
      </c>
      <c r="I49" s="136"/>
      <c r="J49" s="57">
        <v>13.04852</v>
      </c>
      <c r="K49" s="41"/>
      <c r="L49" s="41"/>
      <c r="M49" s="41"/>
      <c r="N49" s="41"/>
      <c r="O49" s="41"/>
      <c r="P49" s="41"/>
      <c r="Q49" s="41"/>
      <c r="R49" s="41"/>
      <c r="S49" s="41"/>
      <c r="T49" s="41"/>
    </row>
    <row r="50" spans="1:20" ht="29.25" customHeight="1" x14ac:dyDescent="0.25">
      <c r="A50" s="274"/>
      <c r="B50" s="246" t="s">
        <v>177</v>
      </c>
      <c r="C50" s="247"/>
      <c r="D50" s="248"/>
      <c r="E50" s="54">
        <f t="shared" si="15"/>
        <v>10.0039596</v>
      </c>
      <c r="F50" s="58"/>
      <c r="G50" s="54">
        <v>10.0039596</v>
      </c>
      <c r="H50" s="54">
        <f t="shared" si="16"/>
        <v>7.9843799999999998</v>
      </c>
      <c r="I50" s="58"/>
      <c r="J50" s="59">
        <v>7.9843799999999998</v>
      </c>
      <c r="K50" s="41"/>
      <c r="L50" s="41"/>
      <c r="M50" s="41"/>
      <c r="N50" s="41"/>
      <c r="O50" s="41"/>
      <c r="P50" s="41"/>
      <c r="Q50" s="41"/>
      <c r="R50" s="41"/>
      <c r="S50" s="41"/>
      <c r="T50" s="41"/>
    </row>
    <row r="51" spans="1:20" ht="29.25" customHeight="1" x14ac:dyDescent="0.25">
      <c r="A51" s="274"/>
      <c r="B51" s="246" t="s">
        <v>178</v>
      </c>
      <c r="C51" s="247"/>
      <c r="D51" s="248"/>
      <c r="E51" s="54">
        <f t="shared" si="15"/>
        <v>8.01474426799337</v>
      </c>
      <c r="F51" s="58"/>
      <c r="G51" s="54">
        <v>8.01474426799337</v>
      </c>
      <c r="H51" s="54">
        <f t="shared" si="16"/>
        <v>5.8174899999999994</v>
      </c>
      <c r="I51" s="58"/>
      <c r="J51" s="59">
        <v>5.8174899999999994</v>
      </c>
      <c r="K51" s="41"/>
      <c r="L51" s="41"/>
      <c r="M51" s="41"/>
      <c r="N51" s="41"/>
      <c r="O51" s="41"/>
      <c r="P51" s="41"/>
      <c r="Q51" s="41"/>
      <c r="R51" s="41"/>
      <c r="S51" s="41"/>
      <c r="T51" s="41"/>
    </row>
    <row r="52" spans="1:20" ht="29.25" customHeight="1" x14ac:dyDescent="0.25">
      <c r="A52" s="274"/>
      <c r="B52" s="204" t="s">
        <v>244</v>
      </c>
      <c r="C52" s="204" t="s">
        <v>245</v>
      </c>
      <c r="D52" s="232">
        <f>2970000/1000</f>
        <v>2970</v>
      </c>
      <c r="E52" s="133">
        <f>G52</f>
        <v>908.5068</v>
      </c>
      <c r="F52" s="136" t="s">
        <v>288</v>
      </c>
      <c r="G52" s="133">
        <f>908506.8/1000</f>
        <v>908.5068</v>
      </c>
      <c r="H52" s="232">
        <f>J52+J53</f>
        <v>1817.0135999999998</v>
      </c>
      <c r="I52" s="229" t="s">
        <v>257</v>
      </c>
      <c r="J52" s="57">
        <f>447206*1.2/1000</f>
        <v>536.6472</v>
      </c>
      <c r="K52" s="41"/>
      <c r="L52" s="41"/>
      <c r="M52" s="41"/>
      <c r="N52" s="41"/>
      <c r="O52" s="41"/>
      <c r="P52" s="41"/>
      <c r="Q52" s="41"/>
      <c r="R52" s="41"/>
      <c r="S52" s="41"/>
      <c r="T52" s="41"/>
    </row>
    <row r="53" spans="1:20" ht="29.25" customHeight="1" x14ac:dyDescent="0.25">
      <c r="A53" s="274"/>
      <c r="B53" s="194"/>
      <c r="C53" s="194"/>
      <c r="D53" s="186"/>
      <c r="E53" s="133">
        <f>G53</f>
        <v>908.5068</v>
      </c>
      <c r="F53" s="136" t="s">
        <v>302</v>
      </c>
      <c r="G53" s="133">
        <f>908506.8/1000</f>
        <v>908.5068</v>
      </c>
      <c r="H53" s="187"/>
      <c r="I53" s="231"/>
      <c r="J53" s="57">
        <f>1066972*1.2/1000</f>
        <v>1280.3663999999999</v>
      </c>
      <c r="K53" s="41"/>
      <c r="L53" s="41"/>
      <c r="M53" s="41"/>
      <c r="N53" s="41"/>
      <c r="O53" s="41"/>
      <c r="P53" s="41"/>
      <c r="Q53" s="41"/>
      <c r="R53" s="41"/>
      <c r="S53" s="41"/>
      <c r="T53" s="41"/>
    </row>
    <row r="54" spans="1:20" ht="29.25" customHeight="1" x14ac:dyDescent="0.25">
      <c r="A54" s="274"/>
      <c r="B54" s="194"/>
      <c r="C54" s="194"/>
      <c r="D54" s="186"/>
      <c r="E54" s="133"/>
      <c r="F54" s="136"/>
      <c r="G54" s="133"/>
      <c r="H54" s="232">
        <f>J54+J55</f>
        <v>1152.51</v>
      </c>
      <c r="I54" s="229" t="s">
        <v>346</v>
      </c>
      <c r="J54" s="57">
        <f>682844*1.2/1000</f>
        <v>819.41279999999995</v>
      </c>
      <c r="K54" s="41"/>
      <c r="L54" s="41"/>
      <c r="M54" s="41"/>
      <c r="N54" s="41"/>
      <c r="O54" s="41"/>
      <c r="P54" s="41"/>
      <c r="Q54" s="41"/>
      <c r="R54" s="41"/>
      <c r="S54" s="41"/>
      <c r="T54" s="41"/>
    </row>
    <row r="55" spans="1:20" ht="29.25" customHeight="1" x14ac:dyDescent="0.25">
      <c r="A55" s="274"/>
      <c r="B55" s="195"/>
      <c r="C55" s="195"/>
      <c r="D55" s="187"/>
      <c r="E55" s="133"/>
      <c r="F55" s="136"/>
      <c r="G55" s="133"/>
      <c r="H55" s="187"/>
      <c r="I55" s="231"/>
      <c r="J55" s="57">
        <f>277581*1.2/1000</f>
        <v>333.09719999999999</v>
      </c>
      <c r="K55" s="41"/>
      <c r="L55" s="41"/>
      <c r="M55" s="41"/>
      <c r="N55" s="41"/>
      <c r="O55" s="41"/>
      <c r="P55" s="41"/>
      <c r="Q55" s="41"/>
      <c r="R55" s="41"/>
      <c r="S55" s="41"/>
      <c r="T55" s="41"/>
    </row>
    <row r="56" spans="1:20" ht="45" customHeight="1" x14ac:dyDescent="0.25">
      <c r="A56" s="274"/>
      <c r="B56" s="249" t="s">
        <v>266</v>
      </c>
      <c r="C56" s="250" t="s">
        <v>270</v>
      </c>
      <c r="D56" s="251">
        <f>3522000/1000</f>
        <v>3522</v>
      </c>
      <c r="E56" s="133">
        <f>G56</f>
        <v>948.7571999999999</v>
      </c>
      <c r="F56" s="136" t="s">
        <v>287</v>
      </c>
      <c r="G56" s="133">
        <f>948757.2/1000</f>
        <v>948.7571999999999</v>
      </c>
      <c r="H56" s="133">
        <f>J56</f>
        <v>948.7571999999999</v>
      </c>
      <c r="I56" s="136" t="s">
        <v>257</v>
      </c>
      <c r="J56" s="57">
        <f>790631*1.2/1000</f>
        <v>948.7571999999999</v>
      </c>
      <c r="K56" s="41"/>
      <c r="L56" s="41"/>
      <c r="M56" s="41"/>
      <c r="N56" s="41"/>
      <c r="O56" s="41"/>
      <c r="P56" s="41"/>
      <c r="Q56" s="41"/>
      <c r="R56" s="41"/>
      <c r="S56" s="41"/>
      <c r="T56" s="41"/>
    </row>
    <row r="57" spans="1:20" ht="29.25" customHeight="1" x14ac:dyDescent="0.25">
      <c r="A57" s="274"/>
      <c r="B57" s="270"/>
      <c r="C57" s="250"/>
      <c r="D57" s="271"/>
      <c r="E57" s="133"/>
      <c r="F57" s="136"/>
      <c r="G57" s="133"/>
      <c r="H57" s="232">
        <f>J57+J58+J59+J60+J61</f>
        <v>2450.7237839999998</v>
      </c>
      <c r="I57" s="229" t="s">
        <v>346</v>
      </c>
      <c r="J57" s="57">
        <f>195253.48*1.2/1000</f>
        <v>234.30417600000001</v>
      </c>
      <c r="K57" s="41"/>
      <c r="L57" s="41"/>
      <c r="M57" s="41"/>
      <c r="N57" s="41"/>
      <c r="O57" s="41"/>
      <c r="P57" s="41"/>
      <c r="Q57" s="41"/>
      <c r="R57" s="41"/>
      <c r="S57" s="41"/>
      <c r="T57" s="41"/>
    </row>
    <row r="58" spans="1:20" ht="30" customHeight="1" x14ac:dyDescent="0.25">
      <c r="A58" s="274"/>
      <c r="B58" s="270"/>
      <c r="C58" s="250"/>
      <c r="D58" s="271"/>
      <c r="E58" s="133"/>
      <c r="F58" s="136"/>
      <c r="G58" s="133"/>
      <c r="H58" s="186"/>
      <c r="I58" s="230"/>
      <c r="J58" s="57">
        <f>693505*1.2/1000</f>
        <v>832.20600000000002</v>
      </c>
      <c r="K58" s="41"/>
      <c r="L58" s="41"/>
      <c r="M58" s="41"/>
      <c r="N58" s="41"/>
      <c r="O58" s="41"/>
      <c r="P58" s="41"/>
      <c r="Q58" s="41"/>
      <c r="R58" s="41"/>
      <c r="S58" s="41"/>
      <c r="T58" s="41"/>
    </row>
    <row r="59" spans="1:20" ht="29.25" customHeight="1" x14ac:dyDescent="0.25">
      <c r="A59" s="274"/>
      <c r="B59" s="270"/>
      <c r="C59" s="250"/>
      <c r="D59" s="271"/>
      <c r="E59" s="133"/>
      <c r="F59" s="136"/>
      <c r="G59" s="133"/>
      <c r="H59" s="186"/>
      <c r="I59" s="230"/>
      <c r="J59" s="57">
        <f>554704*1.2/1000</f>
        <v>665.64479999999992</v>
      </c>
      <c r="K59" s="41"/>
      <c r="L59" s="41"/>
      <c r="M59" s="41"/>
      <c r="N59" s="41"/>
      <c r="O59" s="41"/>
      <c r="P59" s="41"/>
      <c r="Q59" s="41"/>
      <c r="R59" s="41"/>
      <c r="S59" s="41"/>
      <c r="T59" s="41"/>
    </row>
    <row r="60" spans="1:20" ht="30" customHeight="1" x14ac:dyDescent="0.25">
      <c r="A60" s="274"/>
      <c r="B60" s="270"/>
      <c r="C60" s="250"/>
      <c r="D60" s="271"/>
      <c r="E60" s="133"/>
      <c r="F60" s="136"/>
      <c r="G60" s="133"/>
      <c r="H60" s="186"/>
      <c r="I60" s="230"/>
      <c r="J60" s="57">
        <f>209574.34*1.2/1000</f>
        <v>251.48920799999999</v>
      </c>
      <c r="K60" s="41"/>
      <c r="L60" s="41"/>
      <c r="M60" s="41"/>
      <c r="N60" s="41"/>
      <c r="O60" s="41"/>
      <c r="P60" s="41"/>
      <c r="Q60" s="41"/>
      <c r="R60" s="41"/>
      <c r="S60" s="41"/>
      <c r="T60" s="41"/>
    </row>
    <row r="61" spans="1:20" ht="29.25" customHeight="1" x14ac:dyDescent="0.25">
      <c r="A61" s="274"/>
      <c r="B61" s="243"/>
      <c r="C61" s="250"/>
      <c r="D61" s="252"/>
      <c r="E61" s="133"/>
      <c r="F61" s="136"/>
      <c r="G61" s="133"/>
      <c r="H61" s="187"/>
      <c r="I61" s="231"/>
      <c r="J61" s="57">
        <f>389233*1.2/1000</f>
        <v>467.07959999999997</v>
      </c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ht="29.25" customHeight="1" x14ac:dyDescent="0.25">
      <c r="A62" s="274"/>
      <c r="B62" s="243" t="s">
        <v>198</v>
      </c>
      <c r="C62" s="244"/>
      <c r="D62" s="245"/>
      <c r="E62" s="133">
        <f t="shared" si="15"/>
        <v>5.6440552600066303</v>
      </c>
      <c r="F62" s="136"/>
      <c r="G62" s="133">
        <v>5.6440552600066303</v>
      </c>
      <c r="H62" s="133">
        <f t="shared" si="16"/>
        <v>5.2437899999999997</v>
      </c>
      <c r="I62" s="136"/>
      <c r="J62" s="57">
        <v>5.2437899999999997</v>
      </c>
      <c r="K62" s="41"/>
      <c r="L62" s="41"/>
      <c r="M62" s="41"/>
      <c r="N62" s="41"/>
      <c r="O62" s="41"/>
      <c r="P62" s="41"/>
      <c r="Q62" s="41"/>
      <c r="R62" s="41"/>
      <c r="S62" s="41"/>
      <c r="T62" s="41"/>
    </row>
    <row r="63" spans="1:20" ht="29.25" customHeight="1" x14ac:dyDescent="0.25">
      <c r="A63" s="274"/>
      <c r="B63" s="246" t="s">
        <v>199</v>
      </c>
      <c r="C63" s="247"/>
      <c r="D63" s="248"/>
      <c r="E63" s="54">
        <f t="shared" si="15"/>
        <v>4.4029797889757498</v>
      </c>
      <c r="F63" s="58"/>
      <c r="G63" s="54">
        <v>4.4029797889757498</v>
      </c>
      <c r="H63" s="54">
        <f t="shared" si="16"/>
        <v>2.7994499999999998</v>
      </c>
      <c r="I63" s="58"/>
      <c r="J63" s="59">
        <v>2.7994499999999998</v>
      </c>
      <c r="K63" s="41"/>
      <c r="L63" s="41"/>
      <c r="M63" s="41"/>
      <c r="N63" s="41"/>
      <c r="O63" s="41"/>
      <c r="P63" s="41"/>
      <c r="Q63" s="41"/>
      <c r="R63" s="41"/>
      <c r="S63" s="41"/>
      <c r="T63" s="41"/>
    </row>
    <row r="64" spans="1:20" ht="29.25" customHeight="1" x14ac:dyDescent="0.25">
      <c r="A64" s="274"/>
      <c r="B64" s="246" t="s">
        <v>200</v>
      </c>
      <c r="C64" s="247"/>
      <c r="D64" s="248"/>
      <c r="E64" s="54">
        <f t="shared" si="15"/>
        <v>4.4329745873333106</v>
      </c>
      <c r="F64" s="58"/>
      <c r="G64" s="54">
        <v>4.4329745873333106</v>
      </c>
      <c r="H64" s="54">
        <f t="shared" si="16"/>
        <v>7.4378400000000005</v>
      </c>
      <c r="I64" s="58"/>
      <c r="J64" s="59">
        <f>(3718.92+3718.92)/1000</f>
        <v>7.4378400000000005</v>
      </c>
      <c r="K64" s="41"/>
      <c r="L64" s="41"/>
      <c r="M64" s="41"/>
      <c r="N64" s="41"/>
      <c r="O64" s="41"/>
      <c r="P64" s="41"/>
      <c r="Q64" s="41"/>
      <c r="R64" s="41"/>
      <c r="S64" s="41"/>
      <c r="T64" s="41"/>
    </row>
    <row r="65" spans="1:20" ht="29.25" customHeight="1" x14ac:dyDescent="0.25">
      <c r="A65" s="274"/>
      <c r="B65" s="243" t="s">
        <v>285</v>
      </c>
      <c r="C65" s="244"/>
      <c r="D65" s="245"/>
      <c r="E65" s="133">
        <f>G65</f>
        <v>8.8678600000000003</v>
      </c>
      <c r="F65" s="136"/>
      <c r="G65" s="133">
        <f>(5061.98+3805.88)/1000</f>
        <v>8.8678600000000003</v>
      </c>
      <c r="H65" s="133">
        <f>J65</f>
        <v>10.449719999999999</v>
      </c>
      <c r="I65" s="136"/>
      <c r="J65" s="57">
        <v>10.449719999999999</v>
      </c>
      <c r="K65" s="41"/>
      <c r="L65" s="41"/>
      <c r="M65" s="41"/>
      <c r="N65" s="41"/>
      <c r="O65" s="41"/>
      <c r="P65" s="41"/>
      <c r="Q65" s="41"/>
      <c r="R65" s="41"/>
      <c r="S65" s="41"/>
      <c r="T65" s="41"/>
    </row>
    <row r="66" spans="1:20" ht="29.25" customHeight="1" thickBot="1" x14ac:dyDescent="0.3">
      <c r="A66" s="274"/>
      <c r="B66" s="243" t="s">
        <v>286</v>
      </c>
      <c r="C66" s="244"/>
      <c r="D66" s="245"/>
      <c r="E66" s="133">
        <f>G66</f>
        <v>6.3034400000000002</v>
      </c>
      <c r="F66" s="136"/>
      <c r="G66" s="133">
        <f>(3818.89+2484.55)/1000</f>
        <v>6.3034400000000002</v>
      </c>
      <c r="H66" s="133"/>
      <c r="I66" s="136"/>
      <c r="J66" s="57"/>
      <c r="K66" s="41"/>
      <c r="L66" s="41"/>
      <c r="M66" s="41"/>
      <c r="N66" s="41"/>
      <c r="O66" s="41"/>
      <c r="P66" s="41"/>
      <c r="Q66" s="41"/>
      <c r="R66" s="41"/>
      <c r="S66" s="41"/>
      <c r="T66" s="41"/>
    </row>
    <row r="67" spans="1:20" ht="17.25" customHeight="1" thickBot="1" x14ac:dyDescent="0.3">
      <c r="A67" s="16" t="s">
        <v>14</v>
      </c>
      <c r="B67" s="272"/>
      <c r="C67" s="224"/>
      <c r="D67" s="225"/>
      <c r="E67" s="33">
        <f>SUM(E9:E66)</f>
        <v>5063.3050764154632</v>
      </c>
      <c r="F67" s="33"/>
      <c r="G67" s="33">
        <f>SUM(G9:G66)</f>
        <v>5063.3050764154632</v>
      </c>
      <c r="H67" s="33">
        <f>SUM(H9:H66)</f>
        <v>8310.609120000001</v>
      </c>
      <c r="I67" s="33"/>
      <c r="J67" s="34">
        <f>SUM(J9:J66)</f>
        <v>8310.609120000001</v>
      </c>
      <c r="K67" s="41"/>
      <c r="L67" s="41"/>
      <c r="M67" s="41"/>
      <c r="N67" s="41"/>
      <c r="O67" s="41"/>
      <c r="P67" s="41"/>
      <c r="Q67" s="41"/>
      <c r="R67" s="41"/>
      <c r="S67" s="41"/>
      <c r="T67" s="41"/>
    </row>
    <row r="68" spans="1:20" ht="15.75" thickBot="1" x14ac:dyDescent="0.3">
      <c r="A68" s="177" t="s">
        <v>17</v>
      </c>
      <c r="B68" s="178"/>
      <c r="C68" s="178"/>
      <c r="D68" s="178"/>
      <c r="E68" s="178"/>
      <c r="F68" s="178"/>
      <c r="G68" s="178"/>
      <c r="H68" s="178"/>
      <c r="I68" s="178"/>
      <c r="J68" s="179"/>
      <c r="K68" s="41"/>
      <c r="L68" s="41"/>
      <c r="M68" s="41"/>
      <c r="N68" s="41"/>
      <c r="O68" s="41"/>
      <c r="P68" s="41"/>
      <c r="Q68" s="41"/>
      <c r="R68" s="41"/>
      <c r="S68" s="41"/>
      <c r="T68" s="41"/>
    </row>
    <row r="69" spans="1:20" ht="33.75" customHeight="1" x14ac:dyDescent="0.25">
      <c r="A69" s="233" t="s">
        <v>86</v>
      </c>
      <c r="B69" s="257" t="s">
        <v>85</v>
      </c>
      <c r="C69" s="258"/>
      <c r="D69" s="259"/>
      <c r="E69" s="55">
        <f>G69</f>
        <v>26.786355</v>
      </c>
      <c r="F69" s="12"/>
      <c r="G69" s="55">
        <v>26.786355</v>
      </c>
      <c r="H69" s="55">
        <f>J69</f>
        <v>80.172869999999989</v>
      </c>
      <c r="I69" s="12"/>
      <c r="J69" s="13">
        <v>80.172869999999989</v>
      </c>
      <c r="K69" s="41"/>
      <c r="L69" s="41"/>
      <c r="M69" s="41"/>
      <c r="N69" s="41"/>
      <c r="O69" s="41"/>
      <c r="P69" s="41"/>
      <c r="Q69" s="41"/>
      <c r="R69" s="41"/>
      <c r="S69" s="41"/>
      <c r="T69" s="41"/>
    </row>
    <row r="70" spans="1:20" ht="33" customHeight="1" x14ac:dyDescent="0.25">
      <c r="A70" s="234"/>
      <c r="B70" s="246" t="s">
        <v>115</v>
      </c>
      <c r="C70" s="247"/>
      <c r="D70" s="248"/>
      <c r="E70" s="54">
        <f>G70</f>
        <v>79.909525188679197</v>
      </c>
      <c r="F70" s="58"/>
      <c r="G70" s="54">
        <v>79.909525188679197</v>
      </c>
      <c r="H70" s="54">
        <f>J70</f>
        <v>84.046990000000008</v>
      </c>
      <c r="I70" s="58"/>
      <c r="J70" s="59">
        <v>84.046990000000008</v>
      </c>
      <c r="K70" s="41"/>
      <c r="L70" s="41"/>
      <c r="M70" s="41"/>
      <c r="N70" s="41"/>
      <c r="O70" s="41"/>
      <c r="P70" s="41"/>
      <c r="Q70" s="41"/>
      <c r="R70" s="41"/>
      <c r="S70" s="41"/>
      <c r="T70" s="41"/>
    </row>
    <row r="71" spans="1:20" ht="35.25" customHeight="1" x14ac:dyDescent="0.25">
      <c r="A71" s="234"/>
      <c r="B71" s="246" t="s">
        <v>121</v>
      </c>
      <c r="C71" s="247"/>
      <c r="D71" s="248"/>
      <c r="E71" s="54">
        <f t="shared" ref="E71" si="17">G71</f>
        <v>81.887346051320804</v>
      </c>
      <c r="F71" s="58"/>
      <c r="G71" s="54">
        <v>81.887346051320804</v>
      </c>
      <c r="H71" s="54">
        <f t="shared" ref="H71" si="18">J71</f>
        <v>63.95382</v>
      </c>
      <c r="I71" s="58"/>
      <c r="J71" s="59">
        <v>63.95382</v>
      </c>
      <c r="K71" s="41"/>
      <c r="L71" s="41"/>
      <c r="M71" s="41"/>
      <c r="N71" s="41"/>
      <c r="O71" s="41"/>
      <c r="P71" s="41"/>
      <c r="Q71" s="41"/>
      <c r="R71" s="41"/>
      <c r="S71" s="41"/>
      <c r="T71" s="41"/>
    </row>
    <row r="72" spans="1:20" ht="35.25" customHeight="1" x14ac:dyDescent="0.25">
      <c r="A72" s="234"/>
      <c r="B72" s="144" t="s">
        <v>166</v>
      </c>
      <c r="C72" s="144" t="s">
        <v>168</v>
      </c>
      <c r="D72" s="28">
        <v>360</v>
      </c>
      <c r="E72" s="54">
        <f>G72</f>
        <v>360</v>
      </c>
      <c r="F72" s="88" t="s">
        <v>223</v>
      </c>
      <c r="G72" s="54">
        <v>360</v>
      </c>
      <c r="H72" s="54">
        <f t="shared" ref="H72:H87" si="19">J72</f>
        <v>360</v>
      </c>
      <c r="I72" s="138" t="s">
        <v>180</v>
      </c>
      <c r="J72" s="59">
        <f>300*1.2</f>
        <v>360</v>
      </c>
      <c r="K72" s="41"/>
      <c r="L72" s="41"/>
      <c r="M72" s="41"/>
      <c r="N72" s="41"/>
      <c r="O72" s="41"/>
      <c r="P72" s="41"/>
      <c r="Q72" s="41"/>
      <c r="R72" s="41"/>
      <c r="S72" s="41"/>
      <c r="T72" s="41"/>
    </row>
    <row r="73" spans="1:20" ht="35.25" customHeight="1" x14ac:dyDescent="0.25">
      <c r="A73" s="234"/>
      <c r="B73" s="243" t="s">
        <v>176</v>
      </c>
      <c r="C73" s="244"/>
      <c r="D73" s="245"/>
      <c r="E73" s="133">
        <f t="shared" ref="E73:E87" si="20">G73</f>
        <v>102.33730926</v>
      </c>
      <c r="F73" s="136"/>
      <c r="G73" s="133">
        <v>102.33730926</v>
      </c>
      <c r="H73" s="133">
        <f t="shared" si="19"/>
        <v>160.18912</v>
      </c>
      <c r="I73" s="136"/>
      <c r="J73" s="57">
        <v>160.18912</v>
      </c>
      <c r="K73" s="41"/>
      <c r="L73" s="41"/>
      <c r="M73" s="41"/>
      <c r="N73" s="41"/>
      <c r="O73" s="41"/>
      <c r="P73" s="41"/>
      <c r="Q73" s="41"/>
      <c r="R73" s="41"/>
      <c r="S73" s="41"/>
      <c r="T73" s="41"/>
    </row>
    <row r="74" spans="1:20" ht="35.25" customHeight="1" x14ac:dyDescent="0.25">
      <c r="A74" s="234"/>
      <c r="B74" s="246" t="s">
        <v>177</v>
      </c>
      <c r="C74" s="247"/>
      <c r="D74" s="248"/>
      <c r="E74" s="54">
        <f t="shared" si="20"/>
        <v>125.72530291</v>
      </c>
      <c r="F74" s="58"/>
      <c r="G74" s="54">
        <v>125.72530291</v>
      </c>
      <c r="H74" s="54">
        <f t="shared" si="19"/>
        <v>109.11966000000001</v>
      </c>
      <c r="I74" s="58"/>
      <c r="J74" s="59">
        <f>469.11966-J72</f>
        <v>109.11966000000001</v>
      </c>
      <c r="K74" s="41"/>
      <c r="L74" s="41"/>
      <c r="M74" s="41"/>
      <c r="N74" s="41"/>
      <c r="O74" s="41"/>
      <c r="P74" s="41"/>
      <c r="Q74" s="41"/>
      <c r="R74" s="41"/>
      <c r="S74" s="41"/>
      <c r="T74" s="41"/>
    </row>
    <row r="75" spans="1:20" ht="35.25" customHeight="1" x14ac:dyDescent="0.25">
      <c r="A75" s="234"/>
      <c r="B75" s="246" t="s">
        <v>178</v>
      </c>
      <c r="C75" s="247"/>
      <c r="D75" s="248"/>
      <c r="E75" s="54">
        <f t="shared" si="20"/>
        <v>123.62996676412899</v>
      </c>
      <c r="F75" s="58"/>
      <c r="G75" s="54">
        <v>123.62996676412899</v>
      </c>
      <c r="H75" s="54">
        <f t="shared" si="19"/>
        <v>118.22782000000001</v>
      </c>
      <c r="I75" s="58"/>
      <c r="J75" s="59">
        <v>118.22782000000001</v>
      </c>
      <c r="K75" s="41"/>
      <c r="L75" s="41"/>
      <c r="M75" s="41"/>
      <c r="N75" s="41"/>
      <c r="O75" s="41"/>
      <c r="P75" s="41"/>
      <c r="Q75" s="41"/>
      <c r="R75" s="41"/>
      <c r="S75" s="41"/>
      <c r="T75" s="41"/>
    </row>
    <row r="76" spans="1:20" ht="68.25" customHeight="1" x14ac:dyDescent="0.25">
      <c r="A76" s="234"/>
      <c r="B76" s="204" t="s">
        <v>240</v>
      </c>
      <c r="C76" s="204" t="s">
        <v>241</v>
      </c>
      <c r="D76" s="232">
        <f>7721498.54/1000</f>
        <v>7721.4985399999996</v>
      </c>
      <c r="E76" s="54">
        <f>G76</f>
        <v>748.08546000000001</v>
      </c>
      <c r="F76" s="88" t="s">
        <v>308</v>
      </c>
      <c r="G76" s="54">
        <v>748.08546000000001</v>
      </c>
      <c r="H76" s="133">
        <f>J76</f>
        <v>748.08546000000013</v>
      </c>
      <c r="I76" s="136" t="s">
        <v>258</v>
      </c>
      <c r="J76" s="57">
        <f>623404.55*1.2/1000</f>
        <v>748.08546000000013</v>
      </c>
      <c r="K76" s="41"/>
      <c r="L76" s="41"/>
      <c r="M76" s="41"/>
      <c r="N76" s="41"/>
      <c r="O76" s="106"/>
      <c r="P76" s="106"/>
      <c r="Q76" s="106"/>
      <c r="R76" s="41"/>
      <c r="S76" s="41"/>
      <c r="T76" s="41"/>
    </row>
    <row r="77" spans="1:20" ht="61.5" customHeight="1" x14ac:dyDescent="0.25">
      <c r="A77" s="234"/>
      <c r="B77" s="195"/>
      <c r="C77" s="195"/>
      <c r="D77" s="187"/>
      <c r="E77" s="133">
        <f>G77</f>
        <v>79.238439999999997</v>
      </c>
      <c r="F77" s="100" t="s">
        <v>330</v>
      </c>
      <c r="G77" s="133">
        <f>79238.44/1000</f>
        <v>79.238439999999997</v>
      </c>
      <c r="H77" s="133">
        <f>J77</f>
        <v>79.238436000000007</v>
      </c>
      <c r="I77" s="132" t="s">
        <v>363</v>
      </c>
      <c r="J77" s="57">
        <f>66032.03*1.2/1000</f>
        <v>79.238436000000007</v>
      </c>
      <c r="K77" s="41"/>
      <c r="L77" s="106"/>
      <c r="M77" s="41"/>
      <c r="N77" s="41"/>
      <c r="O77" s="41"/>
      <c r="P77" s="41"/>
      <c r="Q77" s="41"/>
      <c r="R77" s="41"/>
      <c r="S77" s="41"/>
      <c r="T77" s="41"/>
    </row>
    <row r="78" spans="1:20" ht="72.75" customHeight="1" x14ac:dyDescent="0.25">
      <c r="A78" s="234"/>
      <c r="B78" s="144" t="s">
        <v>234</v>
      </c>
      <c r="C78" s="144" t="s">
        <v>267</v>
      </c>
      <c r="D78" s="54">
        <f>10562.09455*1.2</f>
        <v>12674.51346</v>
      </c>
      <c r="E78" s="133">
        <v>4858.9820899999995</v>
      </c>
      <c r="F78" s="136" t="s">
        <v>236</v>
      </c>
      <c r="G78" s="133">
        <v>4858.9820899999995</v>
      </c>
      <c r="H78" s="133">
        <f>J78</f>
        <v>5716.4495159999997</v>
      </c>
      <c r="I78" s="136" t="s">
        <v>269</v>
      </c>
      <c r="J78" s="57">
        <f>4763707.93*1.2/1000</f>
        <v>5716.4495159999997</v>
      </c>
      <c r="K78" s="41"/>
      <c r="L78" s="106"/>
      <c r="M78" s="41"/>
      <c r="N78" s="41"/>
      <c r="O78" s="41"/>
      <c r="P78" s="41"/>
      <c r="Q78" s="41"/>
      <c r="R78" s="41"/>
      <c r="S78" s="41"/>
      <c r="T78" s="41"/>
    </row>
    <row r="79" spans="1:20" ht="44.25" customHeight="1" x14ac:dyDescent="0.25">
      <c r="A79" s="234"/>
      <c r="B79" s="142" t="s">
        <v>37</v>
      </c>
      <c r="C79" s="144" t="s">
        <v>179</v>
      </c>
      <c r="D79" s="148"/>
      <c r="E79" s="54">
        <v>1175.3020200000001</v>
      </c>
      <c r="F79" s="88" t="s">
        <v>388</v>
      </c>
      <c r="G79" s="54">
        <v>1175.3020200000001</v>
      </c>
      <c r="H79" s="133">
        <f>J79</f>
        <v>1175.3020200000001</v>
      </c>
      <c r="I79" s="136" t="s">
        <v>271</v>
      </c>
      <c r="J79" s="57">
        <f>979418.35*1.2/1000</f>
        <v>1175.3020200000001</v>
      </c>
      <c r="K79" s="41"/>
      <c r="L79" s="41"/>
      <c r="M79" s="41"/>
      <c r="N79" s="41"/>
      <c r="O79" s="41"/>
      <c r="P79" s="41"/>
      <c r="Q79" s="106"/>
      <c r="R79" s="41"/>
      <c r="S79" s="41"/>
      <c r="T79" s="41"/>
    </row>
    <row r="80" spans="1:20" ht="46.5" customHeight="1" x14ac:dyDescent="0.25">
      <c r="A80" s="234"/>
      <c r="B80" s="142" t="s">
        <v>303</v>
      </c>
      <c r="C80" s="144" t="s">
        <v>304</v>
      </c>
      <c r="D80" s="148">
        <f>241.666*1.2</f>
        <v>289.99919999999997</v>
      </c>
      <c r="E80" s="133">
        <f t="shared" ref="E80:E84" si="21">G80</f>
        <v>109.15225</v>
      </c>
      <c r="F80" s="172" t="s">
        <v>305</v>
      </c>
      <c r="G80" s="133">
        <f>109152.25/1000</f>
        <v>109.15225</v>
      </c>
      <c r="H80" s="133">
        <v>109.15225</v>
      </c>
      <c r="I80" s="136" t="s">
        <v>348</v>
      </c>
      <c r="J80" s="57">
        <v>109.15225</v>
      </c>
      <c r="K80" s="41"/>
      <c r="L80" s="106"/>
      <c r="M80" s="41"/>
      <c r="N80" s="41"/>
      <c r="O80" s="41"/>
      <c r="P80" s="41"/>
      <c r="Q80" s="41"/>
      <c r="R80" s="41"/>
      <c r="S80" s="41"/>
      <c r="T80" s="41"/>
    </row>
    <row r="81" spans="1:20" ht="44.25" customHeight="1" x14ac:dyDescent="0.25">
      <c r="A81" s="234"/>
      <c r="B81" s="204" t="s">
        <v>166</v>
      </c>
      <c r="C81" s="204" t="s">
        <v>379</v>
      </c>
      <c r="D81" s="202">
        <v>9738.5105700000004</v>
      </c>
      <c r="E81" s="133">
        <f t="shared" si="21"/>
        <v>1400</v>
      </c>
      <c r="F81" s="172" t="s">
        <v>307</v>
      </c>
      <c r="G81" s="133">
        <v>1400</v>
      </c>
      <c r="H81" s="232">
        <f>J81+J82</f>
        <v>3524.5681439999994</v>
      </c>
      <c r="I81" s="229" t="s">
        <v>352</v>
      </c>
      <c r="J81" s="57">
        <f>250695.84*1.2/1000</f>
        <v>300.83500799999996</v>
      </c>
      <c r="K81" s="41"/>
      <c r="L81" s="41"/>
      <c r="M81" s="41"/>
      <c r="N81" s="41"/>
      <c r="O81" s="41"/>
      <c r="P81" s="41"/>
      <c r="Q81" s="41"/>
      <c r="R81" s="41"/>
      <c r="S81" s="41"/>
      <c r="T81" s="41"/>
    </row>
    <row r="82" spans="1:20" ht="46.5" customHeight="1" x14ac:dyDescent="0.25">
      <c r="A82" s="234"/>
      <c r="B82" s="194"/>
      <c r="C82" s="194"/>
      <c r="D82" s="260"/>
      <c r="E82" s="133">
        <f t="shared" si="21"/>
        <v>600</v>
      </c>
      <c r="F82" s="168" t="s">
        <v>326</v>
      </c>
      <c r="G82" s="54">
        <f>(1200000/2)/1000</f>
        <v>600</v>
      </c>
      <c r="H82" s="187"/>
      <c r="I82" s="231"/>
      <c r="J82" s="57">
        <f>2686444.28*1.2/1000</f>
        <v>3223.7331359999994</v>
      </c>
      <c r="K82" s="41"/>
      <c r="L82" s="41"/>
      <c r="M82" s="41"/>
      <c r="N82" s="41"/>
      <c r="O82" s="41"/>
      <c r="P82" s="41"/>
      <c r="Q82" s="41"/>
      <c r="R82" s="41"/>
      <c r="S82" s="41"/>
      <c r="T82" s="41"/>
    </row>
    <row r="83" spans="1:20" ht="46.5" customHeight="1" x14ac:dyDescent="0.25">
      <c r="A83" s="234"/>
      <c r="B83" s="194"/>
      <c r="C83" s="194"/>
      <c r="D83" s="260"/>
      <c r="E83" s="133">
        <f t="shared" si="21"/>
        <v>250</v>
      </c>
      <c r="F83" s="172" t="s">
        <v>327</v>
      </c>
      <c r="G83" s="133">
        <v>250</v>
      </c>
      <c r="H83" s="146"/>
      <c r="I83" s="136"/>
      <c r="J83" s="57"/>
      <c r="K83" s="41"/>
      <c r="L83" s="41"/>
      <c r="M83" s="41"/>
      <c r="N83" s="41"/>
      <c r="O83" s="41"/>
      <c r="P83" s="41"/>
      <c r="Q83" s="41"/>
      <c r="R83" s="41"/>
      <c r="S83" s="41"/>
      <c r="T83" s="41"/>
    </row>
    <row r="84" spans="1:20" ht="46.5" customHeight="1" x14ac:dyDescent="0.25">
      <c r="A84" s="234"/>
      <c r="B84" s="195"/>
      <c r="C84" s="195"/>
      <c r="D84" s="203"/>
      <c r="E84" s="133">
        <f t="shared" si="21"/>
        <v>250</v>
      </c>
      <c r="F84" s="172" t="s">
        <v>328</v>
      </c>
      <c r="G84" s="133">
        <v>250</v>
      </c>
      <c r="H84" s="133"/>
      <c r="I84" s="136"/>
      <c r="J84" s="57"/>
      <c r="K84" s="41"/>
      <c r="L84" s="41"/>
      <c r="M84" s="41"/>
      <c r="N84" s="41"/>
      <c r="O84" s="41"/>
      <c r="P84" s="41"/>
      <c r="Q84" s="41"/>
      <c r="R84" s="41"/>
      <c r="S84" s="41"/>
      <c r="T84" s="41"/>
    </row>
    <row r="85" spans="1:20" ht="35.25" customHeight="1" x14ac:dyDescent="0.25">
      <c r="A85" s="234"/>
      <c r="B85" s="243" t="s">
        <v>198</v>
      </c>
      <c r="C85" s="244"/>
      <c r="D85" s="245"/>
      <c r="E85" s="133">
        <f t="shared" si="20"/>
        <v>86.199010000000001</v>
      </c>
      <c r="F85" s="172"/>
      <c r="G85" s="133">
        <f>86199.01/1000</f>
        <v>86.199010000000001</v>
      </c>
      <c r="H85" s="133">
        <f t="shared" si="19"/>
        <v>28.86861</v>
      </c>
      <c r="I85" s="136"/>
      <c r="J85" s="57">
        <v>28.86861</v>
      </c>
      <c r="K85" s="41"/>
      <c r="L85" s="41"/>
      <c r="M85" s="41"/>
      <c r="N85" s="41"/>
      <c r="O85" s="41"/>
      <c r="P85" s="41"/>
      <c r="Q85" s="41"/>
      <c r="R85" s="41"/>
      <c r="S85" s="41"/>
      <c r="T85" s="41"/>
    </row>
    <row r="86" spans="1:20" ht="35.25" customHeight="1" x14ac:dyDescent="0.25">
      <c r="A86" s="234"/>
      <c r="B86" s="246" t="s">
        <v>199</v>
      </c>
      <c r="C86" s="247"/>
      <c r="D86" s="248"/>
      <c r="E86" s="54">
        <f t="shared" si="20"/>
        <v>19.572569450989999</v>
      </c>
      <c r="F86" s="58"/>
      <c r="G86" s="54">
        <v>19.572569450989999</v>
      </c>
      <c r="H86" s="54">
        <f t="shared" si="19"/>
        <v>3.7968699999999997</v>
      </c>
      <c r="I86" s="58"/>
      <c r="J86" s="59">
        <v>3.7968699999999997</v>
      </c>
      <c r="K86" s="41"/>
      <c r="L86" s="41"/>
      <c r="M86" s="41"/>
      <c r="N86" s="41"/>
      <c r="O86" s="41"/>
      <c r="P86" s="41"/>
      <c r="Q86" s="41"/>
      <c r="R86" s="41"/>
      <c r="S86" s="41"/>
      <c r="T86" s="41"/>
    </row>
    <row r="87" spans="1:20" ht="35.25" customHeight="1" x14ac:dyDescent="0.25">
      <c r="A87" s="234"/>
      <c r="B87" s="246" t="s">
        <v>200</v>
      </c>
      <c r="C87" s="247"/>
      <c r="D87" s="248"/>
      <c r="E87" s="54">
        <f t="shared" si="20"/>
        <v>7.1328206582403002</v>
      </c>
      <c r="F87" s="58"/>
      <c r="G87" s="54">
        <v>7.1328206582403002</v>
      </c>
      <c r="H87" s="54">
        <f t="shared" si="19"/>
        <v>11.650319999999999</v>
      </c>
      <c r="I87" s="58"/>
      <c r="J87" s="59">
        <f>11650.32/1000</f>
        <v>11.650319999999999</v>
      </c>
      <c r="K87" s="41"/>
      <c r="L87" s="41"/>
      <c r="M87" s="41"/>
      <c r="N87" s="41"/>
      <c r="O87" s="41"/>
      <c r="P87" s="41"/>
      <c r="Q87" s="41"/>
      <c r="R87" s="41"/>
      <c r="S87" s="41"/>
      <c r="T87" s="41"/>
    </row>
    <row r="88" spans="1:20" ht="35.25" customHeight="1" x14ac:dyDescent="0.25">
      <c r="A88" s="234"/>
      <c r="B88" s="243" t="s">
        <v>285</v>
      </c>
      <c r="C88" s="244"/>
      <c r="D88" s="245"/>
      <c r="E88" s="133">
        <f>G88</f>
        <v>6.8458699999999997</v>
      </c>
      <c r="F88" s="172"/>
      <c r="G88" s="133">
        <f>6845.87/1000</f>
        <v>6.8458699999999997</v>
      </c>
      <c r="H88" s="133"/>
      <c r="I88" s="136"/>
      <c r="J88" s="57"/>
      <c r="K88" s="41"/>
      <c r="L88" s="41"/>
      <c r="M88" s="41"/>
      <c r="N88" s="41"/>
      <c r="O88" s="125"/>
      <c r="P88" s="38"/>
      <c r="Q88" s="125"/>
      <c r="R88" s="41"/>
      <c r="S88" s="41"/>
      <c r="T88" s="41"/>
    </row>
    <row r="89" spans="1:20" ht="35.25" customHeight="1" thickBot="1" x14ac:dyDescent="0.3">
      <c r="A89" s="234"/>
      <c r="B89" s="243" t="s">
        <v>286</v>
      </c>
      <c r="C89" s="244"/>
      <c r="D89" s="245"/>
      <c r="E89" s="133"/>
      <c r="F89" s="172"/>
      <c r="G89" s="133"/>
      <c r="H89" s="133"/>
      <c r="I89" s="136"/>
      <c r="J89" s="57"/>
      <c r="K89" s="41"/>
      <c r="L89" s="41"/>
      <c r="M89" s="41"/>
      <c r="N89" s="41"/>
      <c r="O89" s="41"/>
      <c r="P89" s="41"/>
      <c r="Q89" s="41"/>
      <c r="R89" s="41"/>
      <c r="S89" s="41"/>
      <c r="T89" s="41"/>
    </row>
    <row r="90" spans="1:20" ht="28.5" customHeight="1" x14ac:dyDescent="0.25">
      <c r="A90" s="233" t="s">
        <v>87</v>
      </c>
      <c r="B90" s="257" t="s">
        <v>85</v>
      </c>
      <c r="C90" s="258"/>
      <c r="D90" s="259"/>
      <c r="E90" s="55">
        <f t="shared" ref="E90" si="22">G90</f>
        <v>26.786355</v>
      </c>
      <c r="F90" s="74" t="s">
        <v>13</v>
      </c>
      <c r="G90" s="55">
        <v>26.786355</v>
      </c>
      <c r="H90" s="55">
        <f t="shared" ref="H90" si="23">J90</f>
        <v>80.172869999999989</v>
      </c>
      <c r="I90" s="74" t="s">
        <v>13</v>
      </c>
      <c r="J90" s="13">
        <v>80.172869999999989</v>
      </c>
      <c r="K90" s="41"/>
      <c r="L90" s="41"/>
      <c r="M90" s="41"/>
      <c r="N90" s="41"/>
      <c r="O90" s="41"/>
      <c r="P90" s="41"/>
      <c r="Q90" s="41"/>
      <c r="R90" s="41"/>
      <c r="S90" s="41"/>
      <c r="T90" s="41"/>
    </row>
    <row r="91" spans="1:20" ht="28.5" customHeight="1" x14ac:dyDescent="0.25">
      <c r="A91" s="234"/>
      <c r="B91" s="246" t="s">
        <v>115</v>
      </c>
      <c r="C91" s="247"/>
      <c r="D91" s="248"/>
      <c r="E91" s="54">
        <f>G91</f>
        <v>77.849734245283003</v>
      </c>
      <c r="F91" s="170"/>
      <c r="G91" s="54">
        <v>77.849734245283003</v>
      </c>
      <c r="H91" s="54">
        <f>J91</f>
        <v>77.519179999999992</v>
      </c>
      <c r="I91" s="138"/>
      <c r="J91" s="59">
        <f>77519.18/1000</f>
        <v>77.519179999999992</v>
      </c>
      <c r="K91" s="41"/>
      <c r="L91" s="41"/>
      <c r="M91" s="41"/>
      <c r="N91" s="41"/>
      <c r="O91" s="41"/>
      <c r="P91" s="41"/>
      <c r="Q91" s="41"/>
      <c r="R91" s="41"/>
      <c r="S91" s="41"/>
      <c r="T91" s="41"/>
    </row>
    <row r="92" spans="1:20" ht="33" customHeight="1" x14ac:dyDescent="0.25">
      <c r="A92" s="234"/>
      <c r="B92" s="243" t="s">
        <v>121</v>
      </c>
      <c r="C92" s="244"/>
      <c r="D92" s="245"/>
      <c r="E92" s="133">
        <f t="shared" ref="E92:E93" si="24">G92</f>
        <v>86.016405714716996</v>
      </c>
      <c r="F92" s="172"/>
      <c r="G92" s="133">
        <v>86.016405714716996</v>
      </c>
      <c r="H92" s="133">
        <f t="shared" ref="H92" si="25">J92</f>
        <v>86.521179999999987</v>
      </c>
      <c r="I92" s="136"/>
      <c r="J92" s="57">
        <v>86.521179999999987</v>
      </c>
      <c r="K92" s="41"/>
      <c r="L92" s="41"/>
      <c r="M92" s="41"/>
      <c r="N92" s="41"/>
      <c r="O92" s="41"/>
      <c r="P92" s="41"/>
      <c r="Q92" s="41"/>
      <c r="R92" s="41"/>
      <c r="S92" s="41"/>
      <c r="T92" s="41"/>
    </row>
    <row r="93" spans="1:20" ht="33" customHeight="1" x14ac:dyDescent="0.25">
      <c r="A93" s="234"/>
      <c r="B93" s="144" t="s">
        <v>166</v>
      </c>
      <c r="C93" s="144" t="s">
        <v>167</v>
      </c>
      <c r="D93" s="28">
        <v>360</v>
      </c>
      <c r="E93" s="54">
        <f t="shared" si="24"/>
        <v>360</v>
      </c>
      <c r="F93" s="88" t="s">
        <v>224</v>
      </c>
      <c r="G93" s="54">
        <v>360</v>
      </c>
      <c r="H93" s="54">
        <f t="shared" ref="H93:H108" si="26">J93</f>
        <v>360</v>
      </c>
      <c r="I93" s="138" t="s">
        <v>180</v>
      </c>
      <c r="J93" s="59">
        <f>300*1.2</f>
        <v>360</v>
      </c>
      <c r="K93" s="41"/>
      <c r="L93" s="106"/>
      <c r="M93" s="41"/>
      <c r="N93" s="41"/>
      <c r="O93" s="41"/>
      <c r="P93" s="41"/>
      <c r="Q93" s="41"/>
      <c r="R93" s="41"/>
      <c r="S93" s="41"/>
      <c r="T93" s="41"/>
    </row>
    <row r="94" spans="1:20" ht="33" customHeight="1" x14ac:dyDescent="0.25">
      <c r="A94" s="234"/>
      <c r="B94" s="243" t="s">
        <v>176</v>
      </c>
      <c r="C94" s="244"/>
      <c r="D94" s="245"/>
      <c r="E94" s="133">
        <f t="shared" ref="E94:E108" si="27">G94</f>
        <v>113.42994614</v>
      </c>
      <c r="F94" s="172"/>
      <c r="G94" s="133">
        <v>113.42994614</v>
      </c>
      <c r="H94" s="133">
        <f t="shared" si="26"/>
        <v>152.84267000000003</v>
      </c>
      <c r="I94" s="136"/>
      <c r="J94" s="57">
        <v>152.84267000000003</v>
      </c>
      <c r="K94" s="41"/>
      <c r="L94" s="41"/>
      <c r="M94" s="41"/>
      <c r="N94" s="41"/>
      <c r="O94" s="41"/>
      <c r="P94" s="41"/>
      <c r="Q94" s="41"/>
      <c r="R94" s="41"/>
      <c r="S94" s="41"/>
      <c r="T94" s="41"/>
    </row>
    <row r="95" spans="1:20" ht="33" customHeight="1" x14ac:dyDescent="0.25">
      <c r="A95" s="234"/>
      <c r="B95" s="246" t="s">
        <v>177</v>
      </c>
      <c r="C95" s="247"/>
      <c r="D95" s="248"/>
      <c r="E95" s="54">
        <f t="shared" si="27"/>
        <v>121.31493985</v>
      </c>
      <c r="F95" s="58"/>
      <c r="G95" s="54">
        <v>121.31493985</v>
      </c>
      <c r="H95" s="54">
        <f t="shared" si="26"/>
        <v>109.34546999999998</v>
      </c>
      <c r="I95" s="58"/>
      <c r="J95" s="59">
        <f>469.34547-J93</f>
        <v>109.34546999999998</v>
      </c>
      <c r="K95" s="41"/>
      <c r="L95" s="41"/>
      <c r="M95" s="41"/>
      <c r="N95" s="41"/>
      <c r="O95" s="41"/>
      <c r="P95" s="41"/>
      <c r="Q95" s="41"/>
      <c r="R95" s="41"/>
      <c r="S95" s="41"/>
      <c r="T95" s="41"/>
    </row>
    <row r="96" spans="1:20" ht="33" customHeight="1" x14ac:dyDescent="0.25">
      <c r="A96" s="234"/>
      <c r="B96" s="246" t="s">
        <v>178</v>
      </c>
      <c r="C96" s="247"/>
      <c r="D96" s="248"/>
      <c r="E96" s="54">
        <f t="shared" si="27"/>
        <v>123.80404550107799</v>
      </c>
      <c r="F96" s="58"/>
      <c r="G96" s="54">
        <v>123.80404550107799</v>
      </c>
      <c r="H96" s="54">
        <f t="shared" si="26"/>
        <v>118.24644000000001</v>
      </c>
      <c r="I96" s="58"/>
      <c r="J96" s="59">
        <v>118.24644000000001</v>
      </c>
      <c r="K96" s="41"/>
      <c r="L96" s="41"/>
      <c r="M96" s="41"/>
      <c r="N96" s="41"/>
      <c r="O96" s="41"/>
      <c r="P96" s="41"/>
      <c r="Q96" s="41"/>
      <c r="R96" s="41"/>
      <c r="S96" s="41"/>
      <c r="T96" s="41"/>
    </row>
    <row r="97" spans="1:20" ht="70.5" customHeight="1" x14ac:dyDescent="0.25">
      <c r="A97" s="234"/>
      <c r="B97" s="144" t="s">
        <v>234</v>
      </c>
      <c r="C97" s="144" t="s">
        <v>235</v>
      </c>
      <c r="D97" s="54">
        <f>10562094.55*1.2/1000</f>
        <v>12674.51346</v>
      </c>
      <c r="E97" s="133">
        <f>G97</f>
        <v>5914.3543499999996</v>
      </c>
      <c r="F97" s="172" t="s">
        <v>289</v>
      </c>
      <c r="G97" s="133">
        <f>5914354.35/1000</f>
        <v>5914.3543499999996</v>
      </c>
      <c r="H97" s="133">
        <f>J97</f>
        <v>6958.0639440000004</v>
      </c>
      <c r="I97" s="136" t="s">
        <v>268</v>
      </c>
      <c r="J97" s="57">
        <f>5798386.62*1.2/1000</f>
        <v>6958.0639440000004</v>
      </c>
      <c r="K97" s="41"/>
      <c r="L97" s="41"/>
      <c r="M97" s="41"/>
      <c r="N97" s="41"/>
      <c r="O97" s="106"/>
      <c r="P97" s="41"/>
      <c r="Q97" s="41"/>
      <c r="R97" s="41"/>
      <c r="S97" s="41"/>
      <c r="T97" s="41"/>
    </row>
    <row r="98" spans="1:20" ht="33" customHeight="1" x14ac:dyDescent="0.25">
      <c r="A98" s="234"/>
      <c r="B98" s="142" t="s">
        <v>37</v>
      </c>
      <c r="C98" s="144" t="s">
        <v>179</v>
      </c>
      <c r="D98" s="28"/>
      <c r="E98" s="133">
        <f t="shared" ref="E98:E105" si="28">G98</f>
        <v>1430.5779480000001</v>
      </c>
      <c r="F98" s="172" t="s">
        <v>384</v>
      </c>
      <c r="G98" s="133">
        <f>1192148.29*1.2/1000</f>
        <v>1430.5779480000001</v>
      </c>
      <c r="H98" s="133">
        <f>J98</f>
        <v>1430.5779480000001</v>
      </c>
      <c r="I98" s="136" t="s">
        <v>278</v>
      </c>
      <c r="J98" s="57">
        <f>1192148.29*1.2/1000</f>
        <v>1430.5779480000001</v>
      </c>
      <c r="K98" s="41"/>
      <c r="L98" s="41"/>
      <c r="M98" s="41"/>
      <c r="N98" s="41"/>
      <c r="O98" s="41"/>
      <c r="P98" s="41"/>
      <c r="Q98" s="41"/>
      <c r="R98" s="41"/>
      <c r="S98" s="41"/>
      <c r="T98" s="41"/>
    </row>
    <row r="99" spans="1:20" ht="57" customHeight="1" x14ac:dyDescent="0.25">
      <c r="A99" s="234"/>
      <c r="B99" s="204" t="s">
        <v>240</v>
      </c>
      <c r="C99" s="204" t="s">
        <v>241</v>
      </c>
      <c r="D99" s="232">
        <f>7721498.54/1000</f>
        <v>7721.4985399999996</v>
      </c>
      <c r="E99" s="54">
        <f t="shared" si="28"/>
        <v>137.33198000000002</v>
      </c>
      <c r="F99" s="88" t="s">
        <v>308</v>
      </c>
      <c r="G99" s="54">
        <f>137331.98/1000</f>
        <v>137.33198000000002</v>
      </c>
      <c r="H99" s="54">
        <f>J99</f>
        <v>137.33198400000001</v>
      </c>
      <c r="I99" s="138" t="s">
        <v>258</v>
      </c>
      <c r="J99" s="59">
        <f>114443.32*1.2/1000</f>
        <v>137.33198400000001</v>
      </c>
      <c r="K99" s="41"/>
      <c r="L99" s="106"/>
      <c r="M99" s="41"/>
      <c r="N99" s="41"/>
      <c r="O99" s="41"/>
      <c r="P99" s="41"/>
      <c r="Q99" s="41"/>
      <c r="R99" s="41"/>
      <c r="S99" s="41"/>
      <c r="T99" s="41"/>
    </row>
    <row r="100" spans="1:20" ht="57" customHeight="1" x14ac:dyDescent="0.25">
      <c r="A100" s="234"/>
      <c r="B100" s="195"/>
      <c r="C100" s="195"/>
      <c r="D100" s="187"/>
      <c r="E100" s="133">
        <f t="shared" si="28"/>
        <v>74.996690000000001</v>
      </c>
      <c r="F100" s="100" t="s">
        <v>329</v>
      </c>
      <c r="G100" s="133">
        <f>74996.69/1000</f>
        <v>74.996690000000001</v>
      </c>
      <c r="H100" s="133">
        <f>J100</f>
        <v>74.996687999999992</v>
      </c>
      <c r="I100" s="132" t="s">
        <v>363</v>
      </c>
      <c r="J100" s="57">
        <f>62497.24*1.2/1000</f>
        <v>74.996687999999992</v>
      </c>
      <c r="K100" s="41"/>
      <c r="L100" s="106"/>
      <c r="M100" s="41"/>
      <c r="N100" s="41"/>
      <c r="O100" s="41"/>
      <c r="P100" s="41"/>
      <c r="Q100" s="41"/>
      <c r="R100" s="41"/>
      <c r="S100" s="41"/>
      <c r="T100" s="41"/>
    </row>
    <row r="101" spans="1:20" ht="43.5" customHeight="1" x14ac:dyDescent="0.25">
      <c r="A101" s="234"/>
      <c r="B101" s="142" t="s">
        <v>303</v>
      </c>
      <c r="C101" s="144" t="s">
        <v>304</v>
      </c>
      <c r="D101" s="146">
        <v>289.99919999999997</v>
      </c>
      <c r="E101" s="133">
        <f t="shared" si="28"/>
        <v>176.77139000000003</v>
      </c>
      <c r="F101" s="100" t="s">
        <v>306</v>
      </c>
      <c r="G101" s="133">
        <f>176771.39/1000</f>
        <v>176.77139000000003</v>
      </c>
      <c r="H101" s="133">
        <v>176.77139000000003</v>
      </c>
      <c r="I101" s="136" t="s">
        <v>348</v>
      </c>
      <c r="J101" s="57">
        <v>176.77139000000003</v>
      </c>
      <c r="K101" s="41"/>
      <c r="L101" s="41"/>
      <c r="M101" s="41"/>
      <c r="N101" s="41"/>
      <c r="O101" s="41"/>
      <c r="P101" s="106"/>
      <c r="Q101" s="106"/>
      <c r="R101" s="41"/>
      <c r="S101" s="41"/>
      <c r="T101" s="41"/>
    </row>
    <row r="102" spans="1:20" ht="43.5" customHeight="1" x14ac:dyDescent="0.25">
      <c r="A102" s="234"/>
      <c r="B102" s="249" t="s">
        <v>166</v>
      </c>
      <c r="C102" s="250" t="s">
        <v>379</v>
      </c>
      <c r="D102" s="232">
        <v>9738.5105700000004</v>
      </c>
      <c r="E102" s="133">
        <f t="shared" si="28"/>
        <v>600</v>
      </c>
      <c r="F102" s="100" t="s">
        <v>307</v>
      </c>
      <c r="G102" s="133">
        <v>600</v>
      </c>
      <c r="H102" s="232">
        <f>J102+J103</f>
        <v>1547.4111119999998</v>
      </c>
      <c r="I102" s="229" t="s">
        <v>352</v>
      </c>
      <c r="J102" s="57">
        <f>346068.73*1.2/1000</f>
        <v>415.28247599999997</v>
      </c>
      <c r="K102" s="41"/>
      <c r="L102" s="41"/>
      <c r="M102" s="41"/>
      <c r="N102" s="41"/>
      <c r="O102" s="41"/>
      <c r="P102" s="41"/>
      <c r="Q102" s="41"/>
      <c r="R102" s="41"/>
      <c r="S102" s="41"/>
      <c r="T102" s="41"/>
    </row>
    <row r="103" spans="1:20" ht="43.5" customHeight="1" x14ac:dyDescent="0.25">
      <c r="A103" s="234"/>
      <c r="B103" s="270"/>
      <c r="C103" s="250"/>
      <c r="D103" s="186"/>
      <c r="E103" s="133">
        <f>G103</f>
        <v>600</v>
      </c>
      <c r="F103" s="168" t="s">
        <v>326</v>
      </c>
      <c r="G103" s="54">
        <f>(1200000/2)/1000</f>
        <v>600</v>
      </c>
      <c r="H103" s="187"/>
      <c r="I103" s="231"/>
      <c r="J103" s="57">
        <f>943440.53*1.2/1000</f>
        <v>1132.1286359999999</v>
      </c>
      <c r="K103" s="41"/>
      <c r="L103" s="41"/>
      <c r="M103" s="41"/>
      <c r="N103" s="41"/>
      <c r="O103" s="41"/>
      <c r="P103" s="41"/>
      <c r="Q103" s="41"/>
      <c r="R103" s="41"/>
      <c r="S103" s="41"/>
      <c r="T103" s="41"/>
    </row>
    <row r="104" spans="1:20" ht="43.5" customHeight="1" x14ac:dyDescent="0.25">
      <c r="A104" s="234"/>
      <c r="B104" s="270"/>
      <c r="C104" s="250"/>
      <c r="D104" s="186"/>
      <c r="E104" s="133">
        <f t="shared" si="28"/>
        <v>250</v>
      </c>
      <c r="F104" s="172" t="s">
        <v>327</v>
      </c>
      <c r="G104" s="133">
        <v>250</v>
      </c>
      <c r="H104" s="146"/>
      <c r="I104" s="132"/>
      <c r="J104" s="57"/>
      <c r="K104" s="41"/>
      <c r="L104" s="41"/>
      <c r="M104" s="41"/>
      <c r="N104" s="41"/>
      <c r="O104" s="41"/>
      <c r="P104" s="41"/>
      <c r="Q104" s="41"/>
      <c r="R104" s="41"/>
      <c r="S104" s="41"/>
      <c r="T104" s="41"/>
    </row>
    <row r="105" spans="1:20" ht="43.5" customHeight="1" x14ac:dyDescent="0.25">
      <c r="A105" s="234"/>
      <c r="B105" s="243"/>
      <c r="C105" s="250"/>
      <c r="D105" s="187"/>
      <c r="E105" s="133">
        <f t="shared" si="28"/>
        <v>250</v>
      </c>
      <c r="F105" s="172" t="s">
        <v>328</v>
      </c>
      <c r="G105" s="133">
        <v>250</v>
      </c>
      <c r="H105" s="133"/>
      <c r="I105" s="132"/>
      <c r="J105" s="57"/>
      <c r="K105" s="41"/>
      <c r="L105" s="41"/>
      <c r="M105" s="41"/>
      <c r="N105" s="41"/>
      <c r="O105" s="41"/>
      <c r="P105" s="41"/>
      <c r="Q105" s="41"/>
      <c r="R105" s="41"/>
      <c r="S105" s="41"/>
      <c r="T105" s="41"/>
    </row>
    <row r="106" spans="1:20" ht="28.5" customHeight="1" x14ac:dyDescent="0.25">
      <c r="A106" s="234"/>
      <c r="B106" s="243" t="s">
        <v>198</v>
      </c>
      <c r="C106" s="244"/>
      <c r="D106" s="245"/>
      <c r="E106" s="133">
        <f t="shared" si="27"/>
        <v>86.213546000000008</v>
      </c>
      <c r="F106" s="172"/>
      <c r="G106" s="133">
        <f>86213.546/1000</f>
        <v>86.213546000000008</v>
      </c>
      <c r="H106" s="133">
        <f t="shared" si="26"/>
        <v>28.87575</v>
      </c>
      <c r="I106" s="136"/>
      <c r="J106" s="57">
        <v>28.87575</v>
      </c>
      <c r="K106" s="41"/>
      <c r="L106" s="41"/>
      <c r="M106" s="41"/>
      <c r="N106" s="41"/>
      <c r="O106" s="41"/>
      <c r="P106" s="41"/>
      <c r="Q106" s="41"/>
      <c r="R106" s="41"/>
      <c r="S106" s="41"/>
      <c r="T106" s="41"/>
    </row>
    <row r="107" spans="1:20" ht="28.5" customHeight="1" x14ac:dyDescent="0.25">
      <c r="A107" s="234"/>
      <c r="B107" s="246" t="s">
        <v>199</v>
      </c>
      <c r="C107" s="247"/>
      <c r="D107" s="248"/>
      <c r="E107" s="54">
        <f t="shared" si="27"/>
        <v>20.688614690932997</v>
      </c>
      <c r="F107" s="58"/>
      <c r="G107" s="54">
        <v>20.688614690932997</v>
      </c>
      <c r="H107" s="54">
        <f t="shared" si="26"/>
        <v>6.6708100000000004</v>
      </c>
      <c r="I107" s="58"/>
      <c r="J107" s="59">
        <v>6.6708100000000004</v>
      </c>
      <c r="K107" s="41"/>
      <c r="L107" s="41"/>
      <c r="M107" s="41"/>
      <c r="N107" s="41"/>
      <c r="O107" s="41"/>
      <c r="P107" s="41"/>
      <c r="Q107" s="41"/>
      <c r="R107" s="41"/>
      <c r="S107" s="41"/>
      <c r="T107" s="41"/>
    </row>
    <row r="108" spans="1:20" ht="26.25" customHeight="1" x14ac:dyDescent="0.25">
      <c r="A108" s="234"/>
      <c r="B108" s="246" t="s">
        <v>200</v>
      </c>
      <c r="C108" s="247"/>
      <c r="D108" s="248"/>
      <c r="E108" s="54">
        <f t="shared" si="27"/>
        <v>6.0125600000000006</v>
      </c>
      <c r="F108" s="58"/>
      <c r="G108" s="54">
        <f>6012.56/1000</f>
        <v>6.0125600000000006</v>
      </c>
      <c r="H108" s="54">
        <f t="shared" si="26"/>
        <v>4.66012</v>
      </c>
      <c r="I108" s="58"/>
      <c r="J108" s="59">
        <f>4660.12/1000</f>
        <v>4.66012</v>
      </c>
      <c r="K108" s="41"/>
      <c r="L108" s="41"/>
      <c r="M108" s="41"/>
      <c r="N108" s="41"/>
      <c r="O108" s="41"/>
      <c r="P108" s="41"/>
      <c r="Q108" s="41"/>
      <c r="R108" s="41"/>
      <c r="S108" s="41"/>
      <c r="T108" s="41"/>
    </row>
    <row r="109" spans="1:20" ht="26.25" customHeight="1" x14ac:dyDescent="0.25">
      <c r="A109" s="234"/>
      <c r="B109" s="243" t="s">
        <v>285</v>
      </c>
      <c r="C109" s="244"/>
      <c r="D109" s="245"/>
      <c r="E109" s="133">
        <f>G109</f>
        <v>2.73834</v>
      </c>
      <c r="F109" s="172"/>
      <c r="G109" s="133">
        <f>2738.34/1000</f>
        <v>2.73834</v>
      </c>
      <c r="H109" s="133"/>
      <c r="I109" s="136"/>
      <c r="J109" s="57"/>
      <c r="K109" s="41"/>
      <c r="L109" s="41"/>
      <c r="M109" s="41"/>
      <c r="N109" s="41"/>
      <c r="O109" s="41"/>
      <c r="P109" s="41"/>
      <c r="Q109" s="41"/>
      <c r="R109" s="41"/>
      <c r="S109" s="41"/>
      <c r="T109" s="41"/>
    </row>
    <row r="110" spans="1:20" ht="26.25" customHeight="1" thickBot="1" x14ac:dyDescent="0.3">
      <c r="A110" s="235"/>
      <c r="B110" s="261" t="s">
        <v>286</v>
      </c>
      <c r="C110" s="262"/>
      <c r="D110" s="263"/>
      <c r="E110" s="131"/>
      <c r="F110" s="173"/>
      <c r="G110" s="131"/>
      <c r="H110" s="131"/>
      <c r="I110" s="77"/>
      <c r="J110" s="73"/>
      <c r="K110" s="41"/>
      <c r="L110" s="41"/>
      <c r="M110" s="41"/>
      <c r="N110" s="41"/>
      <c r="O110" s="41"/>
      <c r="P110" s="41"/>
      <c r="Q110" s="41"/>
      <c r="R110" s="41"/>
      <c r="S110" s="41"/>
      <c r="T110" s="41"/>
    </row>
    <row r="111" spans="1:20" ht="33" customHeight="1" x14ac:dyDescent="0.25">
      <c r="A111" s="234" t="s">
        <v>201</v>
      </c>
      <c r="B111" s="194" t="s">
        <v>18</v>
      </c>
      <c r="C111" s="194" t="s">
        <v>273</v>
      </c>
      <c r="D111" s="260">
        <f>3840000/1000</f>
        <v>3840</v>
      </c>
      <c r="E111" s="133">
        <f>G111</f>
        <v>1152</v>
      </c>
      <c r="F111" s="172" t="s">
        <v>226</v>
      </c>
      <c r="G111" s="133">
        <f>1152000/1000</f>
        <v>1152</v>
      </c>
      <c r="H111" s="185">
        <f>J111+J112+J113+J114</f>
        <v>1152</v>
      </c>
      <c r="I111" s="275" t="s">
        <v>353</v>
      </c>
      <c r="J111" s="57">
        <f>208333.34*1.2/1000</f>
        <v>250.00000799999998</v>
      </c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ht="33" customHeight="1" x14ac:dyDescent="0.25">
      <c r="A112" s="234"/>
      <c r="B112" s="194"/>
      <c r="C112" s="194"/>
      <c r="D112" s="260"/>
      <c r="E112" s="54">
        <f>G112</f>
        <v>1740.327</v>
      </c>
      <c r="F112" s="58" t="s">
        <v>215</v>
      </c>
      <c r="G112" s="54">
        <f>1740327/1000</f>
        <v>1740.327</v>
      </c>
      <c r="H112" s="186"/>
      <c r="I112" s="230"/>
      <c r="J112" s="109">
        <f>208333.33*1.2/1000</f>
        <v>249.99999599999998</v>
      </c>
      <c r="K112" s="41"/>
      <c r="L112" s="41"/>
      <c r="M112" s="41"/>
      <c r="N112" s="41"/>
      <c r="O112" s="41"/>
      <c r="P112" s="41"/>
      <c r="Q112" s="41"/>
      <c r="R112" s="41"/>
      <c r="S112" s="41"/>
      <c r="T112" s="41"/>
    </row>
    <row r="113" spans="1:20" ht="33" customHeight="1" x14ac:dyDescent="0.25">
      <c r="A113" s="234"/>
      <c r="B113" s="194"/>
      <c r="C113" s="194"/>
      <c r="D113" s="260"/>
      <c r="E113" s="130"/>
      <c r="F113" s="171"/>
      <c r="G113" s="130"/>
      <c r="H113" s="186"/>
      <c r="I113" s="230"/>
      <c r="J113" s="59">
        <f>208333.33*1.2/1000</f>
        <v>249.99999599999998</v>
      </c>
      <c r="K113" s="41"/>
      <c r="L113" s="41"/>
      <c r="M113" s="41"/>
      <c r="N113" s="41"/>
      <c r="O113" s="41"/>
      <c r="P113" s="41"/>
      <c r="Q113" s="41"/>
      <c r="R113" s="41"/>
      <c r="S113" s="41"/>
      <c r="T113" s="41"/>
    </row>
    <row r="114" spans="1:20" ht="33" customHeight="1" thickBot="1" x14ac:dyDescent="0.3">
      <c r="A114" s="235"/>
      <c r="B114" s="277"/>
      <c r="C114" s="277"/>
      <c r="D114" s="278"/>
      <c r="E114" s="131"/>
      <c r="F114" s="173"/>
      <c r="G114" s="131"/>
      <c r="H114" s="237"/>
      <c r="I114" s="276"/>
      <c r="J114" s="73">
        <f>335*1.2</f>
        <v>402</v>
      </c>
      <c r="K114" s="41"/>
      <c r="L114" s="41"/>
      <c r="M114" s="41"/>
      <c r="N114" s="41"/>
      <c r="O114" s="41"/>
      <c r="P114" s="41"/>
      <c r="Q114" s="41"/>
      <c r="R114" s="41"/>
      <c r="S114" s="41"/>
      <c r="T114" s="41"/>
    </row>
    <row r="115" spans="1:20" ht="32.25" customHeight="1" x14ac:dyDescent="0.25">
      <c r="A115" s="175" t="s">
        <v>122</v>
      </c>
      <c r="B115" s="243" t="s">
        <v>121</v>
      </c>
      <c r="C115" s="244"/>
      <c r="D115" s="245"/>
      <c r="E115" s="133">
        <f t="shared" ref="E115" si="29">G115</f>
        <v>28.998947520000002</v>
      </c>
      <c r="F115" s="172"/>
      <c r="G115" s="133">
        <v>28.998947520000002</v>
      </c>
      <c r="H115" s="133">
        <f t="shared" ref="H115" si="30">J115</f>
        <v>76.122249999999994</v>
      </c>
      <c r="I115" s="136"/>
      <c r="J115" s="57">
        <v>76.122249999999994</v>
      </c>
      <c r="K115" s="41"/>
      <c r="L115" s="41"/>
      <c r="M115" s="41"/>
      <c r="N115" s="41"/>
      <c r="O115" s="41"/>
      <c r="P115" s="41"/>
      <c r="Q115" s="41"/>
      <c r="R115" s="41"/>
      <c r="S115" s="41"/>
      <c r="T115" s="41"/>
    </row>
    <row r="116" spans="1:20" ht="29.25" customHeight="1" x14ac:dyDescent="0.25">
      <c r="A116" s="196"/>
      <c r="B116" s="243" t="s">
        <v>176</v>
      </c>
      <c r="C116" s="244"/>
      <c r="D116" s="245"/>
      <c r="E116" s="133">
        <f t="shared" ref="E116:E122" si="31">G116</f>
        <v>52.313495979999999</v>
      </c>
      <c r="F116" s="172"/>
      <c r="G116" s="133">
        <v>52.313495979999999</v>
      </c>
      <c r="H116" s="133">
        <f t="shared" ref="H116:H121" si="32">J116</f>
        <v>13.25024</v>
      </c>
      <c r="I116" s="136"/>
      <c r="J116" s="57">
        <v>13.25024</v>
      </c>
      <c r="K116" s="41"/>
      <c r="L116" s="41"/>
      <c r="M116" s="41"/>
      <c r="N116" s="41"/>
      <c r="O116" s="41"/>
      <c r="P116" s="41"/>
      <c r="Q116" s="41"/>
      <c r="R116" s="41"/>
      <c r="S116" s="41"/>
      <c r="T116" s="41"/>
    </row>
    <row r="117" spans="1:20" ht="30" customHeight="1" x14ac:dyDescent="0.25">
      <c r="A117" s="196"/>
      <c r="B117" s="246" t="s">
        <v>177</v>
      </c>
      <c r="C117" s="247"/>
      <c r="D117" s="248"/>
      <c r="E117" s="54">
        <f t="shared" si="31"/>
        <v>8.6603513400000001</v>
      </c>
      <c r="F117" s="58"/>
      <c r="G117" s="54">
        <v>8.6603513400000001</v>
      </c>
      <c r="H117" s="54">
        <f t="shared" si="32"/>
        <v>2.31928</v>
      </c>
      <c r="I117" s="58"/>
      <c r="J117" s="59">
        <v>2.31928</v>
      </c>
      <c r="K117" s="41"/>
      <c r="L117" s="41"/>
      <c r="M117" s="41"/>
      <c r="N117" s="41"/>
      <c r="O117" s="41"/>
      <c r="P117" s="41"/>
      <c r="Q117" s="41"/>
      <c r="R117" s="41"/>
      <c r="S117" s="41"/>
      <c r="T117" s="41"/>
    </row>
    <row r="118" spans="1:20" ht="30" customHeight="1" x14ac:dyDescent="0.25">
      <c r="A118" s="196"/>
      <c r="B118" s="246" t="s">
        <v>178</v>
      </c>
      <c r="C118" s="247"/>
      <c r="D118" s="248"/>
      <c r="E118" s="54">
        <f t="shared" si="31"/>
        <v>3.3887877968159201</v>
      </c>
      <c r="F118" s="58"/>
      <c r="G118" s="54">
        <v>3.3887877968159201</v>
      </c>
      <c r="H118" s="54">
        <f t="shared" si="32"/>
        <v>4.6324499999999995</v>
      </c>
      <c r="I118" s="58"/>
      <c r="J118" s="59">
        <v>4.6324499999999995</v>
      </c>
      <c r="K118" s="41"/>
      <c r="L118" s="41"/>
      <c r="M118" s="41"/>
      <c r="N118" s="41"/>
      <c r="O118" s="41"/>
      <c r="P118" s="41"/>
      <c r="Q118" s="41"/>
      <c r="R118" s="41"/>
      <c r="S118" s="41"/>
      <c r="T118" s="41"/>
    </row>
    <row r="119" spans="1:20" ht="30" customHeight="1" x14ac:dyDescent="0.25">
      <c r="A119" s="196"/>
      <c r="B119" s="243" t="s">
        <v>198</v>
      </c>
      <c r="C119" s="244"/>
      <c r="D119" s="245"/>
      <c r="E119" s="133">
        <f t="shared" si="31"/>
        <v>11.429277035184102</v>
      </c>
      <c r="F119" s="172"/>
      <c r="G119" s="133">
        <v>11.429277035184102</v>
      </c>
      <c r="H119" s="133">
        <f t="shared" si="32"/>
        <v>22.975150000000003</v>
      </c>
      <c r="I119" s="136"/>
      <c r="J119" s="57">
        <v>22.975150000000003</v>
      </c>
      <c r="K119" s="41"/>
      <c r="L119" s="41"/>
      <c r="M119" s="41"/>
      <c r="N119" s="41"/>
      <c r="O119" s="41"/>
      <c r="P119" s="41"/>
      <c r="Q119" s="41"/>
      <c r="R119" s="41"/>
      <c r="S119" s="41"/>
      <c r="T119" s="41"/>
    </row>
    <row r="120" spans="1:20" ht="30" customHeight="1" x14ac:dyDescent="0.25">
      <c r="A120" s="196"/>
      <c r="B120" s="246" t="s">
        <v>199</v>
      </c>
      <c r="C120" s="247"/>
      <c r="D120" s="248"/>
      <c r="E120" s="54">
        <f t="shared" si="31"/>
        <v>24.630390028428</v>
      </c>
      <c r="F120" s="58"/>
      <c r="G120" s="54">
        <v>24.630390028428</v>
      </c>
      <c r="H120" s="54">
        <f t="shared" si="32"/>
        <v>25.44791</v>
      </c>
      <c r="I120" s="58"/>
      <c r="J120" s="59">
        <v>25.44791</v>
      </c>
      <c r="K120" s="41"/>
      <c r="L120" s="41"/>
      <c r="M120" s="41"/>
      <c r="N120" s="41"/>
      <c r="O120" s="41"/>
      <c r="P120" s="41"/>
      <c r="Q120" s="41"/>
      <c r="R120" s="41"/>
      <c r="S120" s="41"/>
      <c r="T120" s="41"/>
    </row>
    <row r="121" spans="1:20" ht="30" customHeight="1" x14ac:dyDescent="0.25">
      <c r="A121" s="196"/>
      <c r="B121" s="246" t="s">
        <v>200</v>
      </c>
      <c r="C121" s="247"/>
      <c r="D121" s="248"/>
      <c r="E121" s="54">
        <f t="shared" si="31"/>
        <v>29.440650210419001</v>
      </c>
      <c r="F121" s="58"/>
      <c r="G121" s="54">
        <v>29.440650210419001</v>
      </c>
      <c r="H121" s="54">
        <f t="shared" si="32"/>
        <v>38.649620000000006</v>
      </c>
      <c r="I121" s="58"/>
      <c r="J121" s="59">
        <v>38.649620000000006</v>
      </c>
      <c r="K121" s="41"/>
      <c r="L121" s="41"/>
      <c r="M121" s="41"/>
      <c r="N121" s="41"/>
      <c r="O121" s="41"/>
      <c r="P121" s="41"/>
      <c r="Q121" s="41"/>
      <c r="R121" s="41"/>
      <c r="S121" s="41"/>
      <c r="T121" s="41"/>
    </row>
    <row r="122" spans="1:20" ht="30" customHeight="1" x14ac:dyDescent="0.25">
      <c r="A122" s="196"/>
      <c r="B122" s="243" t="s">
        <v>285</v>
      </c>
      <c r="C122" s="244"/>
      <c r="D122" s="245"/>
      <c r="E122" s="133">
        <f t="shared" si="31"/>
        <v>26.493320000000001</v>
      </c>
      <c r="F122" s="172"/>
      <c r="G122" s="133">
        <f>26493.32/1000</f>
        <v>26.493320000000001</v>
      </c>
      <c r="H122" s="133">
        <f>J122</f>
        <v>5.32857</v>
      </c>
      <c r="I122" s="136"/>
      <c r="J122" s="57">
        <f>5328.57/1000</f>
        <v>5.32857</v>
      </c>
      <c r="K122" s="41"/>
      <c r="L122" s="41"/>
      <c r="M122" s="41"/>
      <c r="N122" s="41"/>
      <c r="O122" s="41"/>
      <c r="P122" s="41"/>
      <c r="Q122" s="41"/>
      <c r="R122" s="41"/>
      <c r="S122" s="41"/>
      <c r="T122" s="41"/>
    </row>
    <row r="123" spans="1:20" ht="30" customHeight="1" x14ac:dyDescent="0.25">
      <c r="A123" s="196"/>
      <c r="B123" s="243" t="s">
        <v>286</v>
      </c>
      <c r="C123" s="244"/>
      <c r="D123" s="245"/>
      <c r="E123" s="133">
        <f t="shared" ref="E123:E129" si="33">G123</f>
        <v>28.866316609698099</v>
      </c>
      <c r="F123" s="172"/>
      <c r="G123" s="133">
        <v>28.866316609698099</v>
      </c>
      <c r="H123" s="133">
        <f>J123</f>
        <v>65.08972</v>
      </c>
      <c r="I123" s="136"/>
      <c r="J123" s="57">
        <v>65.08972</v>
      </c>
      <c r="K123" s="41"/>
      <c r="L123" s="41"/>
      <c r="M123" s="41"/>
      <c r="N123" s="41"/>
      <c r="O123" s="41"/>
      <c r="P123" s="41"/>
      <c r="Q123" s="41"/>
      <c r="R123" s="41"/>
      <c r="S123" s="41"/>
      <c r="T123" s="41"/>
    </row>
    <row r="124" spans="1:20" ht="30" customHeight="1" thickBot="1" x14ac:dyDescent="0.3">
      <c r="A124" s="176"/>
      <c r="B124" s="243" t="s">
        <v>324</v>
      </c>
      <c r="C124" s="244"/>
      <c r="D124" s="245"/>
      <c r="E124" s="133">
        <f t="shared" si="33"/>
        <v>88.065691045830803</v>
      </c>
      <c r="F124" s="172"/>
      <c r="G124" s="133">
        <v>88.065691045830803</v>
      </c>
      <c r="H124" s="133">
        <f>J124</f>
        <v>136.45068000000001</v>
      </c>
      <c r="I124" s="136"/>
      <c r="J124" s="57">
        <v>136.45068000000001</v>
      </c>
      <c r="K124" s="41"/>
      <c r="L124" s="41"/>
      <c r="M124" s="41"/>
      <c r="N124" s="41"/>
      <c r="O124" s="41"/>
      <c r="P124" s="41"/>
      <c r="Q124" s="41"/>
      <c r="R124" s="41"/>
      <c r="S124" s="41"/>
      <c r="T124" s="41"/>
    </row>
    <row r="125" spans="1:20" ht="49.5" customHeight="1" x14ac:dyDescent="0.25">
      <c r="A125" s="175" t="s">
        <v>123</v>
      </c>
      <c r="B125" s="105" t="s">
        <v>204</v>
      </c>
      <c r="C125" s="105" t="s">
        <v>207</v>
      </c>
      <c r="D125" s="110">
        <f>253356.17/1000</f>
        <v>253.35617000000002</v>
      </c>
      <c r="E125" s="55">
        <f t="shared" si="33"/>
        <v>9.0038</v>
      </c>
      <c r="F125" s="12" t="s">
        <v>205</v>
      </c>
      <c r="G125" s="55">
        <f>9003.8/1000</f>
        <v>9.0038</v>
      </c>
      <c r="H125" s="55"/>
      <c r="I125" s="12"/>
      <c r="J125" s="13"/>
      <c r="K125" s="41"/>
      <c r="L125" s="41"/>
      <c r="M125" s="41"/>
      <c r="N125" s="41"/>
      <c r="O125" s="41"/>
      <c r="P125" s="41"/>
      <c r="Q125" s="41"/>
      <c r="R125" s="41"/>
      <c r="S125" s="41"/>
      <c r="T125" s="41"/>
    </row>
    <row r="126" spans="1:20" ht="34.5" customHeight="1" x14ac:dyDescent="0.25">
      <c r="A126" s="196"/>
      <c r="B126" s="249" t="s">
        <v>206</v>
      </c>
      <c r="C126" s="250" t="s">
        <v>208</v>
      </c>
      <c r="D126" s="267">
        <v>6750</v>
      </c>
      <c r="E126" s="54">
        <f t="shared" si="33"/>
        <v>1675.4606799999999</v>
      </c>
      <c r="F126" s="58" t="s">
        <v>209</v>
      </c>
      <c r="G126" s="54">
        <f>1675460.68/1000</f>
        <v>1675.4606799999999</v>
      </c>
      <c r="H126" s="54">
        <f>J126</f>
        <v>1675.4606759999999</v>
      </c>
      <c r="I126" s="58" t="s">
        <v>247</v>
      </c>
      <c r="J126" s="59">
        <f>1396217.23*1.2/1000</f>
        <v>1675.4606759999999</v>
      </c>
      <c r="K126" s="41"/>
      <c r="L126" s="41"/>
      <c r="M126" s="41"/>
      <c r="N126" s="41"/>
      <c r="O126" s="41"/>
      <c r="P126" s="41"/>
      <c r="Q126" s="41"/>
      <c r="R126" s="41"/>
      <c r="S126" s="41"/>
      <c r="T126" s="41"/>
    </row>
    <row r="127" spans="1:20" ht="30" customHeight="1" x14ac:dyDescent="0.25">
      <c r="A127" s="196"/>
      <c r="B127" s="270"/>
      <c r="C127" s="250"/>
      <c r="D127" s="268"/>
      <c r="E127" s="54">
        <f t="shared" si="33"/>
        <v>550.36234000000002</v>
      </c>
      <c r="F127" s="58" t="s">
        <v>210</v>
      </c>
      <c r="G127" s="54">
        <f>550362.34/1000</f>
        <v>550.36234000000002</v>
      </c>
      <c r="H127" s="54">
        <f>J127</f>
        <v>6424.5393239999994</v>
      </c>
      <c r="I127" s="136" t="s">
        <v>259</v>
      </c>
      <c r="J127" s="59">
        <f>5353782.77*1.2/1000</f>
        <v>6424.5393239999994</v>
      </c>
      <c r="K127" s="41"/>
      <c r="L127" s="41"/>
      <c r="M127" s="41"/>
      <c r="N127" s="41"/>
      <c r="O127" s="41"/>
      <c r="P127" s="41"/>
      <c r="Q127" s="41"/>
      <c r="R127" s="41"/>
      <c r="S127" s="41"/>
      <c r="T127" s="41"/>
    </row>
    <row r="128" spans="1:20" ht="30" customHeight="1" x14ac:dyDescent="0.25">
      <c r="A128" s="196"/>
      <c r="B128" s="270"/>
      <c r="C128" s="250"/>
      <c r="D128" s="268"/>
      <c r="E128" s="54">
        <f t="shared" si="33"/>
        <v>550.36232999999993</v>
      </c>
      <c r="F128" s="58" t="s">
        <v>211</v>
      </c>
      <c r="G128" s="54">
        <f>550362.33/1000</f>
        <v>550.36232999999993</v>
      </c>
      <c r="H128" s="54"/>
      <c r="I128" s="58"/>
      <c r="J128" s="59"/>
      <c r="K128" s="41"/>
      <c r="L128" s="41"/>
      <c r="M128" s="41"/>
      <c r="N128" s="41"/>
      <c r="O128" s="41"/>
      <c r="P128" s="41"/>
      <c r="Q128" s="41"/>
      <c r="R128" s="41"/>
      <c r="S128" s="41"/>
      <c r="T128" s="41"/>
    </row>
    <row r="129" spans="1:20" ht="30" customHeight="1" x14ac:dyDescent="0.25">
      <c r="A129" s="196"/>
      <c r="B129" s="243"/>
      <c r="C129" s="250"/>
      <c r="D129" s="269"/>
      <c r="E129" s="133">
        <f t="shared" si="33"/>
        <v>5323.8146500000003</v>
      </c>
      <c r="F129" s="172" t="s">
        <v>309</v>
      </c>
      <c r="G129" s="133">
        <f>5323814.65/1000</f>
        <v>5323.8146500000003</v>
      </c>
      <c r="H129" s="133"/>
      <c r="I129" s="136"/>
      <c r="J129" s="57"/>
      <c r="K129" s="41"/>
      <c r="L129" s="41"/>
      <c r="M129" s="41"/>
      <c r="N129" s="41"/>
      <c r="O129" s="41"/>
      <c r="P129" s="41"/>
      <c r="Q129" s="41"/>
      <c r="R129" s="41"/>
      <c r="S129" s="41"/>
      <c r="T129" s="41"/>
    </row>
    <row r="130" spans="1:20" ht="25.5" customHeight="1" x14ac:dyDescent="0.25">
      <c r="A130" s="196"/>
      <c r="B130" s="243" t="s">
        <v>121</v>
      </c>
      <c r="C130" s="244"/>
      <c r="D130" s="245"/>
      <c r="E130" s="133">
        <f t="shared" ref="E130:E141" si="34">G130</f>
        <v>31.67406896</v>
      </c>
      <c r="F130" s="172"/>
      <c r="G130" s="133">
        <v>31.67406896</v>
      </c>
      <c r="H130" s="133">
        <f t="shared" ref="H130:H141" si="35">J130</f>
        <v>83.144449999999992</v>
      </c>
      <c r="I130" s="136"/>
      <c r="J130" s="57">
        <v>83.144449999999992</v>
      </c>
      <c r="K130" s="41"/>
      <c r="L130" s="41"/>
      <c r="M130" s="41"/>
      <c r="N130" s="41"/>
      <c r="O130" s="41"/>
      <c r="P130" s="41"/>
      <c r="Q130" s="41"/>
      <c r="R130" s="41"/>
      <c r="S130" s="41"/>
      <c r="T130" s="41"/>
    </row>
    <row r="131" spans="1:20" ht="26.25" customHeight="1" x14ac:dyDescent="0.25">
      <c r="A131" s="196"/>
      <c r="B131" s="243" t="s">
        <v>176</v>
      </c>
      <c r="C131" s="244"/>
      <c r="D131" s="245"/>
      <c r="E131" s="133">
        <f t="shared" ref="E131:E136" si="36">G131</f>
        <v>54.199212539999998</v>
      </c>
      <c r="F131" s="172"/>
      <c r="G131" s="133">
        <v>54.199212539999998</v>
      </c>
      <c r="H131" s="133">
        <f t="shared" ref="H131:H136" si="37">J131</f>
        <v>6.96652</v>
      </c>
      <c r="I131" s="136"/>
      <c r="J131" s="57">
        <v>6.96652</v>
      </c>
      <c r="K131" s="41"/>
      <c r="L131" s="41"/>
      <c r="M131" s="41"/>
      <c r="N131" s="41"/>
      <c r="O131" s="41"/>
      <c r="P131" s="41"/>
      <c r="Q131" s="41"/>
      <c r="R131" s="41"/>
      <c r="S131" s="41"/>
      <c r="T131" s="41"/>
    </row>
    <row r="132" spans="1:20" ht="29.25" customHeight="1" x14ac:dyDescent="0.25">
      <c r="A132" s="196"/>
      <c r="B132" s="246" t="s">
        <v>177</v>
      </c>
      <c r="C132" s="247"/>
      <c r="D132" s="248"/>
      <c r="E132" s="54">
        <f t="shared" si="36"/>
        <v>5.1527850399999995</v>
      </c>
      <c r="F132" s="58"/>
      <c r="G132" s="54">
        <v>5.1527850399999995</v>
      </c>
      <c r="H132" s="54">
        <f t="shared" si="37"/>
        <v>3.5354999999999999</v>
      </c>
      <c r="I132" s="58"/>
      <c r="J132" s="59">
        <v>3.5354999999999999</v>
      </c>
      <c r="K132" s="41"/>
      <c r="L132" s="41"/>
      <c r="M132" s="41"/>
      <c r="N132" s="41"/>
      <c r="O132" s="41"/>
      <c r="P132" s="41"/>
      <c r="Q132" s="41"/>
      <c r="R132" s="41"/>
      <c r="S132" s="41"/>
      <c r="T132" s="41"/>
    </row>
    <row r="133" spans="1:20" ht="26.25" customHeight="1" x14ac:dyDescent="0.25">
      <c r="A133" s="196"/>
      <c r="B133" s="246" t="s">
        <v>178</v>
      </c>
      <c r="C133" s="247"/>
      <c r="D133" s="248"/>
      <c r="E133" s="54">
        <f t="shared" si="36"/>
        <v>3.80089360925373</v>
      </c>
      <c r="F133" s="58"/>
      <c r="G133" s="54">
        <v>3.80089360925373</v>
      </c>
      <c r="H133" s="54">
        <f t="shared" si="37"/>
        <v>3.27495</v>
      </c>
      <c r="I133" s="58"/>
      <c r="J133" s="59">
        <v>3.27495</v>
      </c>
      <c r="K133" s="41"/>
      <c r="L133" s="41"/>
      <c r="M133" s="41"/>
      <c r="N133" s="41"/>
      <c r="O133" s="41"/>
      <c r="P133" s="41"/>
      <c r="Q133" s="41"/>
      <c r="R133" s="41"/>
      <c r="S133" s="41"/>
      <c r="T133" s="41"/>
    </row>
    <row r="134" spans="1:20" ht="26.25" customHeight="1" x14ac:dyDescent="0.25">
      <c r="A134" s="196"/>
      <c r="B134" s="243" t="s">
        <v>198</v>
      </c>
      <c r="C134" s="244"/>
      <c r="D134" s="245"/>
      <c r="E134" s="133">
        <f t="shared" si="36"/>
        <v>3.83446649874627</v>
      </c>
      <c r="F134" s="172"/>
      <c r="G134" s="133">
        <v>3.83446649874627</v>
      </c>
      <c r="H134" s="133">
        <f t="shared" si="37"/>
        <v>4.7435</v>
      </c>
      <c r="I134" s="136"/>
      <c r="J134" s="57">
        <f>4743.5/1000</f>
        <v>4.7435</v>
      </c>
      <c r="K134" s="41"/>
      <c r="L134" s="41"/>
      <c r="M134" s="41"/>
      <c r="N134" s="41"/>
      <c r="O134" s="41"/>
      <c r="P134" s="41"/>
      <c r="Q134" s="41"/>
      <c r="R134" s="41"/>
      <c r="S134" s="41"/>
      <c r="T134" s="41"/>
    </row>
    <row r="135" spans="1:20" ht="26.25" customHeight="1" x14ac:dyDescent="0.25">
      <c r="A135" s="196"/>
      <c r="B135" s="246" t="s">
        <v>199</v>
      </c>
      <c r="C135" s="247"/>
      <c r="D135" s="248"/>
      <c r="E135" s="133">
        <f t="shared" si="36"/>
        <v>10.168109000000001</v>
      </c>
      <c r="F135" s="172"/>
      <c r="G135" s="133">
        <f>10168.109/1000</f>
        <v>10.168109000000001</v>
      </c>
      <c r="H135" s="133">
        <f t="shared" si="37"/>
        <v>17.80181</v>
      </c>
      <c r="I135" s="136"/>
      <c r="J135" s="57">
        <v>17.80181</v>
      </c>
      <c r="K135" s="41"/>
      <c r="L135" s="41"/>
      <c r="M135" s="41"/>
      <c r="N135" s="41"/>
      <c r="O135" s="41"/>
      <c r="P135" s="41"/>
      <c r="Q135" s="41"/>
      <c r="R135" s="41"/>
      <c r="S135" s="41"/>
      <c r="T135" s="41"/>
    </row>
    <row r="136" spans="1:20" ht="26.25" customHeight="1" x14ac:dyDescent="0.25">
      <c r="A136" s="196"/>
      <c r="B136" s="246" t="s">
        <v>200</v>
      </c>
      <c r="C136" s="247"/>
      <c r="D136" s="248"/>
      <c r="E136" s="54">
        <f t="shared" si="36"/>
        <v>17.069731389842101</v>
      </c>
      <c r="F136" s="58"/>
      <c r="G136" s="54">
        <v>17.069731389842101</v>
      </c>
      <c r="H136" s="54">
        <f t="shared" si="37"/>
        <v>17.613980000000002</v>
      </c>
      <c r="I136" s="58"/>
      <c r="J136" s="59">
        <v>17.613980000000002</v>
      </c>
      <c r="K136" s="41"/>
      <c r="L136" s="41"/>
      <c r="M136" s="41"/>
      <c r="N136" s="41"/>
      <c r="O136" s="41"/>
      <c r="P136" s="41"/>
      <c r="Q136" s="41"/>
      <c r="R136" s="41"/>
      <c r="S136" s="41"/>
      <c r="T136" s="41"/>
    </row>
    <row r="137" spans="1:20" ht="26.25" customHeight="1" x14ac:dyDescent="0.25">
      <c r="A137" s="196"/>
      <c r="B137" s="243" t="s">
        <v>285</v>
      </c>
      <c r="C137" s="244"/>
      <c r="D137" s="245"/>
      <c r="E137" s="133">
        <f>G137</f>
        <v>17.17831</v>
      </c>
      <c r="F137" s="172"/>
      <c r="G137" s="133">
        <f>17178.31/1000</f>
        <v>17.17831</v>
      </c>
      <c r="H137" s="133">
        <f>J137</f>
        <v>14.660620000000002</v>
      </c>
      <c r="I137" s="136"/>
      <c r="J137" s="57">
        <f>14660.62/1000</f>
        <v>14.660620000000002</v>
      </c>
      <c r="K137" s="41"/>
      <c r="L137" s="41"/>
      <c r="M137" s="41"/>
      <c r="N137" s="41"/>
      <c r="O137" s="41"/>
      <c r="P137" s="41"/>
      <c r="Q137" s="41"/>
      <c r="R137" s="41"/>
      <c r="S137" s="41"/>
      <c r="T137" s="41"/>
    </row>
    <row r="138" spans="1:20" ht="26.25" customHeight="1" x14ac:dyDescent="0.25">
      <c r="A138" s="196"/>
      <c r="B138" s="243" t="s">
        <v>286</v>
      </c>
      <c r="C138" s="244"/>
      <c r="D138" s="245"/>
      <c r="E138" s="133">
        <f>G138</f>
        <v>56.999580000000002</v>
      </c>
      <c r="F138" s="172"/>
      <c r="G138" s="133">
        <f>56999.58/1000</f>
        <v>56.999580000000002</v>
      </c>
      <c r="H138" s="133">
        <f>J138</f>
        <v>123.94103</v>
      </c>
      <c r="I138" s="136"/>
      <c r="J138" s="57">
        <v>123.94103</v>
      </c>
      <c r="K138" s="41"/>
      <c r="L138" s="41"/>
      <c r="M138" s="41"/>
      <c r="N138" s="41"/>
      <c r="O138" s="41"/>
      <c r="P138" s="41"/>
      <c r="Q138" s="41"/>
      <c r="R138" s="41"/>
      <c r="S138" s="41"/>
      <c r="T138" s="41"/>
    </row>
    <row r="139" spans="1:20" ht="26.25" customHeight="1" thickBot="1" x14ac:dyDescent="0.3">
      <c r="A139" s="176"/>
      <c r="B139" s="197" t="s">
        <v>324</v>
      </c>
      <c r="C139" s="198"/>
      <c r="D139" s="199"/>
      <c r="E139" s="133">
        <f>G139</f>
        <v>122.435803585481</v>
      </c>
      <c r="F139" s="172"/>
      <c r="G139" s="133">
        <v>122.435803585481</v>
      </c>
      <c r="H139" s="133">
        <f>J139</f>
        <v>131.76095000000001</v>
      </c>
      <c r="I139" s="136"/>
      <c r="J139" s="57">
        <v>131.76095000000001</v>
      </c>
      <c r="K139" s="41"/>
      <c r="L139" s="41"/>
      <c r="M139" s="41"/>
      <c r="N139" s="41"/>
      <c r="O139" s="41"/>
      <c r="P139" s="41"/>
      <c r="Q139" s="41"/>
      <c r="R139" s="41"/>
      <c r="S139" s="41"/>
      <c r="T139" s="41"/>
    </row>
    <row r="140" spans="1:20" ht="44.25" customHeight="1" x14ac:dyDescent="0.25">
      <c r="A140" s="175" t="s">
        <v>124</v>
      </c>
      <c r="B140" s="147" t="s">
        <v>310</v>
      </c>
      <c r="C140" s="105" t="s">
        <v>311</v>
      </c>
      <c r="D140" s="55">
        <v>1567.5395799999999</v>
      </c>
      <c r="E140" s="55"/>
      <c r="F140" s="12"/>
      <c r="G140" s="55"/>
      <c r="H140" s="55">
        <f>J140</f>
        <v>1567.5395800000001</v>
      </c>
      <c r="I140" s="12" t="s">
        <v>364</v>
      </c>
      <c r="J140" s="13">
        <f>1567539.58/1000</f>
        <v>1567.5395800000001</v>
      </c>
      <c r="K140" s="41"/>
      <c r="L140" s="41"/>
      <c r="M140" s="41"/>
      <c r="N140" s="41"/>
      <c r="O140" s="41"/>
      <c r="P140" s="41"/>
      <c r="Q140" s="41"/>
      <c r="R140" s="41"/>
      <c r="S140" s="41"/>
      <c r="T140" s="41"/>
    </row>
    <row r="141" spans="1:20" ht="28.5" customHeight="1" x14ac:dyDescent="0.25">
      <c r="A141" s="196"/>
      <c r="B141" s="243" t="s">
        <v>121</v>
      </c>
      <c r="C141" s="244"/>
      <c r="D141" s="245"/>
      <c r="E141" s="133">
        <f t="shared" si="34"/>
        <v>23.791215359999999</v>
      </c>
      <c r="F141" s="172"/>
      <c r="G141" s="133">
        <v>23.791215359999999</v>
      </c>
      <c r="H141" s="133">
        <f t="shared" si="35"/>
        <v>62.451970000000003</v>
      </c>
      <c r="I141" s="136"/>
      <c r="J141" s="57">
        <v>62.451970000000003</v>
      </c>
      <c r="K141" s="41"/>
      <c r="L141" s="41"/>
      <c r="M141" s="41"/>
      <c r="N141" s="41"/>
      <c r="O141" s="41"/>
      <c r="P141" s="41"/>
      <c r="Q141" s="41"/>
      <c r="R141" s="41"/>
      <c r="S141" s="41"/>
      <c r="T141" s="41"/>
    </row>
    <row r="142" spans="1:20" ht="28.5" customHeight="1" x14ac:dyDescent="0.25">
      <c r="A142" s="196"/>
      <c r="B142" s="243" t="s">
        <v>176</v>
      </c>
      <c r="C142" s="244"/>
      <c r="D142" s="245"/>
      <c r="E142" s="133">
        <f t="shared" ref="E142:E152" si="38">G142</f>
        <v>42.640422340000001</v>
      </c>
      <c r="F142" s="172"/>
      <c r="G142" s="133">
        <v>42.640422340000001</v>
      </c>
      <c r="H142" s="133">
        <f t="shared" ref="H142:H147" si="39">J142</f>
        <v>10.159829999999999</v>
      </c>
      <c r="I142" s="136"/>
      <c r="J142" s="57">
        <v>10.159829999999999</v>
      </c>
      <c r="K142" s="41"/>
      <c r="L142" s="41"/>
      <c r="M142" s="41"/>
      <c r="N142" s="41"/>
      <c r="O142" s="41"/>
      <c r="P142" s="41"/>
      <c r="Q142" s="41"/>
      <c r="R142" s="41"/>
      <c r="S142" s="41"/>
      <c r="T142" s="41"/>
    </row>
    <row r="143" spans="1:20" ht="33" customHeight="1" x14ac:dyDescent="0.25">
      <c r="A143" s="196"/>
      <c r="B143" s="246" t="s">
        <v>177</v>
      </c>
      <c r="C143" s="247"/>
      <c r="D143" s="248"/>
      <c r="E143" s="54">
        <f t="shared" si="38"/>
        <v>6.89131318</v>
      </c>
      <c r="F143" s="58"/>
      <c r="G143" s="54">
        <v>6.89131318</v>
      </c>
      <c r="H143" s="54">
        <f t="shared" si="39"/>
        <v>2.7475200000000002</v>
      </c>
      <c r="I143" s="58"/>
      <c r="J143" s="59">
        <v>2.7475200000000002</v>
      </c>
      <c r="K143" s="41"/>
      <c r="L143" s="41"/>
      <c r="M143" s="41"/>
      <c r="N143" s="41"/>
      <c r="O143" s="41"/>
      <c r="P143" s="41"/>
      <c r="Q143" s="41"/>
      <c r="R143" s="41"/>
      <c r="S143" s="41"/>
      <c r="T143" s="41"/>
    </row>
    <row r="144" spans="1:20" ht="34.5" customHeight="1" x14ac:dyDescent="0.25">
      <c r="A144" s="196"/>
      <c r="B144" s="246" t="s">
        <v>178</v>
      </c>
      <c r="C144" s="247"/>
      <c r="D144" s="248"/>
      <c r="E144" s="54">
        <f t="shared" si="38"/>
        <v>3.2168592692537299</v>
      </c>
      <c r="F144" s="58"/>
      <c r="G144" s="54">
        <v>3.2168592692537299</v>
      </c>
      <c r="H144" s="54">
        <f t="shared" si="39"/>
        <v>3.27495</v>
      </c>
      <c r="I144" s="58"/>
      <c r="J144" s="59">
        <v>3.27495</v>
      </c>
      <c r="K144" s="41"/>
      <c r="L144" s="41"/>
      <c r="M144" s="41"/>
      <c r="N144" s="41"/>
      <c r="O144" s="41"/>
      <c r="P144" s="41"/>
      <c r="Q144" s="41"/>
      <c r="R144" s="41"/>
      <c r="S144" s="41"/>
      <c r="T144" s="41"/>
    </row>
    <row r="145" spans="1:20" ht="34.5" customHeight="1" x14ac:dyDescent="0.25">
      <c r="A145" s="196"/>
      <c r="B145" s="243" t="s">
        <v>198</v>
      </c>
      <c r="C145" s="244"/>
      <c r="D145" s="245"/>
      <c r="E145" s="133">
        <f t="shared" si="38"/>
        <v>2.9766730187462698</v>
      </c>
      <c r="F145" s="172"/>
      <c r="G145" s="133">
        <v>2.9766730187462698</v>
      </c>
      <c r="H145" s="133">
        <f t="shared" si="39"/>
        <v>2.40503</v>
      </c>
      <c r="I145" s="136"/>
      <c r="J145" s="57">
        <v>2.40503</v>
      </c>
      <c r="K145" s="41"/>
      <c r="L145" s="41"/>
      <c r="M145" s="41"/>
      <c r="N145" s="41"/>
      <c r="O145" s="41"/>
      <c r="P145" s="41"/>
      <c r="Q145" s="41"/>
      <c r="R145" s="41"/>
      <c r="S145" s="41"/>
      <c r="T145" s="41"/>
    </row>
    <row r="146" spans="1:20" ht="34.5" customHeight="1" x14ac:dyDescent="0.25">
      <c r="A146" s="196"/>
      <c r="B146" s="246" t="s">
        <v>199</v>
      </c>
      <c r="C146" s="247"/>
      <c r="D146" s="248"/>
      <c r="E146" s="54">
        <f t="shared" si="38"/>
        <v>8.3991661900599102</v>
      </c>
      <c r="F146" s="58"/>
      <c r="G146" s="54">
        <v>8.3991661900599102</v>
      </c>
      <c r="H146" s="54">
        <f t="shared" si="39"/>
        <v>17.056429999999999</v>
      </c>
      <c r="I146" s="58"/>
      <c r="J146" s="59">
        <v>17.056429999999999</v>
      </c>
      <c r="K146" s="41"/>
      <c r="L146" s="41"/>
      <c r="M146" s="41"/>
      <c r="N146" s="41"/>
      <c r="O146" s="41"/>
      <c r="P146" s="41"/>
      <c r="Q146" s="41"/>
      <c r="R146" s="41"/>
      <c r="S146" s="41"/>
      <c r="T146" s="41"/>
    </row>
    <row r="147" spans="1:20" ht="34.5" customHeight="1" x14ac:dyDescent="0.25">
      <c r="A147" s="196"/>
      <c r="B147" s="246" t="s">
        <v>200</v>
      </c>
      <c r="C147" s="247"/>
      <c r="D147" s="248"/>
      <c r="E147" s="54">
        <f t="shared" si="38"/>
        <v>20.207924921286299</v>
      </c>
      <c r="F147" s="58"/>
      <c r="G147" s="54">
        <v>20.207924921286299</v>
      </c>
      <c r="H147" s="54">
        <f t="shared" si="39"/>
        <v>27.4589</v>
      </c>
      <c r="I147" s="58"/>
      <c r="J147" s="59">
        <v>27.4589</v>
      </c>
      <c r="K147" s="41"/>
      <c r="L147" s="41"/>
      <c r="M147" s="41"/>
      <c r="N147" s="41"/>
      <c r="O147" s="41"/>
      <c r="P147" s="41"/>
      <c r="Q147" s="41"/>
      <c r="R147" s="41"/>
      <c r="S147" s="41"/>
      <c r="T147" s="41"/>
    </row>
    <row r="148" spans="1:20" ht="34.5" customHeight="1" x14ac:dyDescent="0.25">
      <c r="A148" s="196"/>
      <c r="B148" s="243" t="s">
        <v>285</v>
      </c>
      <c r="C148" s="244"/>
      <c r="D148" s="245"/>
      <c r="E148" s="133">
        <f>G148</f>
        <v>25.38625</v>
      </c>
      <c r="F148" s="172"/>
      <c r="G148" s="133">
        <f>25386.25/1000</f>
        <v>25.38625</v>
      </c>
      <c r="H148" s="133">
        <f>J148</f>
        <v>19.989189999999997</v>
      </c>
      <c r="I148" s="136"/>
      <c r="J148" s="57">
        <f>19989.19/1000</f>
        <v>19.989189999999997</v>
      </c>
      <c r="K148" s="41"/>
      <c r="L148" s="41"/>
      <c r="M148" s="41"/>
      <c r="N148" s="41"/>
      <c r="O148" s="41"/>
      <c r="P148" s="41"/>
      <c r="Q148" s="41"/>
      <c r="R148" s="41"/>
      <c r="S148" s="41"/>
      <c r="T148" s="41"/>
    </row>
    <row r="149" spans="1:20" ht="34.5" customHeight="1" x14ac:dyDescent="0.25">
      <c r="A149" s="196"/>
      <c r="B149" s="243" t="s">
        <v>286</v>
      </c>
      <c r="C149" s="244"/>
      <c r="D149" s="245"/>
      <c r="E149" s="133">
        <f>G149</f>
        <v>32.352634225118003</v>
      </c>
      <c r="F149" s="172"/>
      <c r="G149" s="133">
        <v>32.352634225118003</v>
      </c>
      <c r="H149" s="133">
        <f>J149</f>
        <v>51.500680000000003</v>
      </c>
      <c r="I149" s="136"/>
      <c r="J149" s="57">
        <v>51.500680000000003</v>
      </c>
      <c r="K149" s="41"/>
      <c r="L149" s="41"/>
      <c r="M149" s="41"/>
      <c r="N149" s="41"/>
      <c r="O149" s="41"/>
      <c r="P149" s="41"/>
      <c r="Q149" s="41"/>
      <c r="R149" s="41"/>
      <c r="S149" s="41"/>
      <c r="T149" s="41"/>
    </row>
    <row r="150" spans="1:20" ht="34.5" customHeight="1" thickBot="1" x14ac:dyDescent="0.3">
      <c r="A150" s="176"/>
      <c r="B150" s="261" t="s">
        <v>324</v>
      </c>
      <c r="C150" s="262"/>
      <c r="D150" s="263"/>
      <c r="E150" s="131">
        <f>G150</f>
        <v>83.402294927428898</v>
      </c>
      <c r="F150" s="173"/>
      <c r="G150" s="158">
        <v>83.402294927428898</v>
      </c>
      <c r="H150" s="131">
        <f>J150</f>
        <v>147.13095000000001</v>
      </c>
      <c r="I150" s="77"/>
      <c r="J150" s="73">
        <v>147.13095000000001</v>
      </c>
      <c r="K150" s="41"/>
      <c r="L150" s="41"/>
      <c r="M150" s="41"/>
      <c r="N150" s="41"/>
      <c r="O150" s="41"/>
      <c r="P150" s="41"/>
      <c r="Q150" s="41"/>
      <c r="R150" s="41"/>
      <c r="S150" s="41"/>
      <c r="T150" s="41"/>
    </row>
    <row r="151" spans="1:20" ht="20.25" customHeight="1" x14ac:dyDescent="0.25">
      <c r="A151" s="175" t="s">
        <v>84</v>
      </c>
      <c r="B151" s="257" t="s">
        <v>85</v>
      </c>
      <c r="C151" s="258"/>
      <c r="D151" s="259"/>
      <c r="E151" s="55">
        <f t="shared" si="38"/>
        <v>87.538415000000001</v>
      </c>
      <c r="F151" s="55"/>
      <c r="G151" s="55">
        <v>87.538415000000001</v>
      </c>
      <c r="H151" s="55">
        <f>+J151</f>
        <v>262.01045999999997</v>
      </c>
      <c r="I151" s="55"/>
      <c r="J151" s="13">
        <v>262.01045999999997</v>
      </c>
      <c r="K151" s="41"/>
      <c r="L151" s="41"/>
      <c r="M151" s="41"/>
      <c r="N151" s="41"/>
      <c r="O151" s="41"/>
      <c r="P151" s="41"/>
      <c r="Q151" s="41"/>
      <c r="R151" s="41"/>
      <c r="S151" s="41"/>
      <c r="T151" s="41"/>
    </row>
    <row r="152" spans="1:20" ht="21" customHeight="1" x14ac:dyDescent="0.25">
      <c r="A152" s="196"/>
      <c r="B152" s="246" t="s">
        <v>115</v>
      </c>
      <c r="C152" s="247"/>
      <c r="D152" s="248"/>
      <c r="E152" s="133">
        <f t="shared" si="38"/>
        <v>202.62859606918201</v>
      </c>
      <c r="F152" s="169"/>
      <c r="G152" s="133">
        <v>202.62859606918201</v>
      </c>
      <c r="H152" s="133">
        <f>J152</f>
        <v>89.223740000000006</v>
      </c>
      <c r="I152" s="133"/>
      <c r="J152" s="57">
        <f>89223.74/1000</f>
        <v>89.223740000000006</v>
      </c>
      <c r="K152" s="41"/>
      <c r="L152" s="41"/>
      <c r="M152" s="41"/>
      <c r="N152" s="41"/>
      <c r="O152" s="41"/>
      <c r="P152" s="41"/>
      <c r="Q152" s="41"/>
      <c r="R152" s="41"/>
      <c r="S152" s="41"/>
      <c r="T152" s="41"/>
    </row>
    <row r="153" spans="1:20" ht="22.5" customHeight="1" x14ac:dyDescent="0.25">
      <c r="A153" s="196"/>
      <c r="B153" s="246" t="s">
        <v>121</v>
      </c>
      <c r="C153" s="247"/>
      <c r="D153" s="248"/>
      <c r="E153" s="54">
        <f t="shared" ref="E153:E213" si="40">G153</f>
        <v>93.603419970817598</v>
      </c>
      <c r="F153" s="58"/>
      <c r="G153" s="54">
        <v>93.603419970817598</v>
      </c>
      <c r="H153" s="54">
        <f t="shared" ref="H153:H213" si="41">J153</f>
        <v>85.407570000000007</v>
      </c>
      <c r="I153" s="58"/>
      <c r="J153" s="59">
        <v>85.407570000000007</v>
      </c>
      <c r="K153" s="41"/>
      <c r="L153" s="41"/>
      <c r="M153" s="41"/>
      <c r="N153" s="41"/>
      <c r="O153" s="41"/>
      <c r="P153" s="41"/>
      <c r="Q153" s="41"/>
      <c r="R153" s="41"/>
      <c r="S153" s="41"/>
      <c r="T153" s="41"/>
    </row>
    <row r="154" spans="1:20" ht="45" customHeight="1" x14ac:dyDescent="0.25">
      <c r="A154" s="196"/>
      <c r="B154" s="204" t="s">
        <v>175</v>
      </c>
      <c r="C154" s="204" t="s">
        <v>186</v>
      </c>
      <c r="D154" s="232">
        <v>72267.362829999998</v>
      </c>
      <c r="E154" s="54">
        <f t="shared" ref="E154:E159" si="42">G154</f>
        <v>1739.1</v>
      </c>
      <c r="F154" s="88" t="s">
        <v>174</v>
      </c>
      <c r="G154" s="54">
        <f>1739100/1000</f>
        <v>1739.1</v>
      </c>
      <c r="H154" s="54">
        <f t="shared" ref="H154:H162" si="43">J154</f>
        <v>2255.3147999999997</v>
      </c>
      <c r="I154" s="58" t="s">
        <v>181</v>
      </c>
      <c r="J154" s="59">
        <f>1879429*1.2/1000</f>
        <v>2255.3147999999997</v>
      </c>
      <c r="K154" s="41"/>
      <c r="L154" s="41"/>
      <c r="M154" s="41"/>
      <c r="N154" s="41"/>
      <c r="O154" s="41"/>
      <c r="P154" s="41"/>
      <c r="Q154" s="41"/>
      <c r="R154" s="41"/>
      <c r="S154" s="41"/>
      <c r="T154" s="41"/>
    </row>
    <row r="155" spans="1:20" ht="45" customHeight="1" x14ac:dyDescent="0.25">
      <c r="A155" s="196"/>
      <c r="B155" s="194"/>
      <c r="C155" s="194"/>
      <c r="D155" s="186"/>
      <c r="E155" s="54">
        <f t="shared" si="42"/>
        <v>1500</v>
      </c>
      <c r="F155" s="58" t="s">
        <v>216</v>
      </c>
      <c r="G155" s="54">
        <f>1500000/1000</f>
        <v>1500</v>
      </c>
      <c r="H155" s="54">
        <f t="shared" si="43"/>
        <v>4679.2063920000001</v>
      </c>
      <c r="I155" s="58" t="s">
        <v>182</v>
      </c>
      <c r="J155" s="59">
        <f>3899338.66*1.2/1000</f>
        <v>4679.2063920000001</v>
      </c>
      <c r="K155" s="41"/>
      <c r="L155" s="41"/>
      <c r="M155" s="41"/>
      <c r="N155" s="41"/>
      <c r="O155" s="41"/>
      <c r="P155" s="41"/>
      <c r="Q155" s="41"/>
      <c r="R155" s="41"/>
      <c r="S155" s="41"/>
      <c r="T155" s="41"/>
    </row>
    <row r="156" spans="1:20" ht="46.5" customHeight="1" x14ac:dyDescent="0.25">
      <c r="A156" s="196"/>
      <c r="B156" s="194"/>
      <c r="C156" s="194"/>
      <c r="D156" s="186"/>
      <c r="E156" s="133">
        <f t="shared" si="42"/>
        <v>4679.2063899999994</v>
      </c>
      <c r="F156" s="172" t="s">
        <v>221</v>
      </c>
      <c r="G156" s="54">
        <f>4679206.39/1000</f>
        <v>4679.2063899999994</v>
      </c>
      <c r="H156" s="146">
        <f>J156</f>
        <v>8432.1934560000009</v>
      </c>
      <c r="I156" s="136" t="s">
        <v>248</v>
      </c>
      <c r="J156" s="57">
        <f>7026827.88*1.2/1000</f>
        <v>8432.1934560000009</v>
      </c>
      <c r="K156" s="41"/>
      <c r="L156" s="41"/>
      <c r="M156" s="41"/>
      <c r="N156" s="41"/>
      <c r="O156" s="41"/>
      <c r="P156" s="41"/>
      <c r="Q156" s="41"/>
      <c r="R156" s="41"/>
      <c r="S156" s="41"/>
      <c r="T156" s="41"/>
    </row>
    <row r="157" spans="1:20" ht="46.5" customHeight="1" x14ac:dyDescent="0.25">
      <c r="A157" s="196"/>
      <c r="B157" s="194"/>
      <c r="C157" s="194"/>
      <c r="D157" s="186"/>
      <c r="E157" s="133">
        <f t="shared" si="42"/>
        <v>516.21479999999997</v>
      </c>
      <c r="F157" s="172" t="s">
        <v>222</v>
      </c>
      <c r="G157" s="133">
        <f>516214.8/1000</f>
        <v>516.21479999999997</v>
      </c>
      <c r="H157" s="146">
        <f>J157</f>
        <v>5931.897899999999</v>
      </c>
      <c r="I157" s="136" t="s">
        <v>249</v>
      </c>
      <c r="J157" s="57">
        <f>4943248.25*1.2/1000</f>
        <v>5931.897899999999</v>
      </c>
      <c r="K157" s="41"/>
      <c r="L157" s="41"/>
      <c r="M157" s="41"/>
      <c r="N157" s="41"/>
      <c r="O157" s="41"/>
      <c r="P157" s="41"/>
      <c r="Q157" s="41"/>
      <c r="R157" s="41"/>
      <c r="S157" s="41"/>
      <c r="T157" s="41"/>
    </row>
    <row r="158" spans="1:20" ht="45.75" customHeight="1" x14ac:dyDescent="0.25">
      <c r="A158" s="196"/>
      <c r="B158" s="194"/>
      <c r="C158" s="194"/>
      <c r="D158" s="186"/>
      <c r="E158" s="133">
        <f t="shared" si="42"/>
        <v>4431.8978999999999</v>
      </c>
      <c r="F158" s="172" t="s">
        <v>232</v>
      </c>
      <c r="G158" s="54">
        <f>4431897.9/1000</f>
        <v>4431.8978999999999</v>
      </c>
      <c r="H158" s="146">
        <f t="shared" si="43"/>
        <v>189.63765599999999</v>
      </c>
      <c r="I158" s="136" t="s">
        <v>250</v>
      </c>
      <c r="J158" s="57">
        <f>158031.38*1.2/1000</f>
        <v>189.63765599999999</v>
      </c>
      <c r="K158" s="41"/>
      <c r="L158" s="41"/>
      <c r="M158" s="41"/>
      <c r="N158" s="41"/>
      <c r="O158" s="41"/>
      <c r="P158" s="41"/>
      <c r="Q158" s="41"/>
      <c r="R158" s="41"/>
      <c r="S158" s="41"/>
      <c r="T158" s="41"/>
    </row>
    <row r="159" spans="1:20" ht="45" customHeight="1" x14ac:dyDescent="0.25">
      <c r="A159" s="196"/>
      <c r="B159" s="194"/>
      <c r="C159" s="194"/>
      <c r="D159" s="186"/>
      <c r="E159" s="133">
        <f t="shared" si="42"/>
        <v>8432.1934600000004</v>
      </c>
      <c r="F159" s="172" t="s">
        <v>233</v>
      </c>
      <c r="G159" s="133">
        <f>8432193.46/1000</f>
        <v>8432.1934600000004</v>
      </c>
      <c r="H159" s="146">
        <f t="shared" si="43"/>
        <v>986.171424</v>
      </c>
      <c r="I159" s="136" t="s">
        <v>251</v>
      </c>
      <c r="J159" s="57">
        <f>821809.52*1.2/1000</f>
        <v>986.171424</v>
      </c>
      <c r="K159" s="41"/>
      <c r="L159" s="106"/>
      <c r="M159" s="41"/>
      <c r="N159" s="41"/>
      <c r="O159" s="41"/>
      <c r="P159" s="41"/>
      <c r="Q159" s="41"/>
      <c r="R159" s="41"/>
      <c r="S159" s="41"/>
      <c r="T159" s="41"/>
    </row>
    <row r="160" spans="1:20" ht="51" customHeight="1" x14ac:dyDescent="0.25">
      <c r="A160" s="196"/>
      <c r="B160" s="194"/>
      <c r="C160" s="194"/>
      <c r="D160" s="186"/>
      <c r="E160" s="133">
        <f t="shared" ref="E160:E189" si="44">G160</f>
        <v>189.63766000000001</v>
      </c>
      <c r="F160" s="172" t="s">
        <v>290</v>
      </c>
      <c r="G160" s="133">
        <f>189637.66/1000</f>
        <v>189.63766000000001</v>
      </c>
      <c r="H160" s="133">
        <f t="shared" si="43"/>
        <v>7080.0608400000001</v>
      </c>
      <c r="I160" s="136" t="s">
        <v>252</v>
      </c>
      <c r="J160" s="57">
        <f>5900050.7*1.2/1000</f>
        <v>7080.0608400000001</v>
      </c>
      <c r="K160" s="41"/>
      <c r="L160" s="41"/>
      <c r="M160" s="41"/>
      <c r="N160" s="41"/>
      <c r="O160" s="41"/>
      <c r="P160" s="41"/>
      <c r="Q160" s="41"/>
      <c r="R160" s="41"/>
      <c r="S160" s="41"/>
      <c r="T160" s="41"/>
    </row>
    <row r="161" spans="1:20" ht="46.5" customHeight="1" x14ac:dyDescent="0.25">
      <c r="A161" s="196"/>
      <c r="B161" s="194"/>
      <c r="C161" s="194"/>
      <c r="D161" s="186"/>
      <c r="E161" s="133">
        <f t="shared" si="44"/>
        <v>986.17142000000001</v>
      </c>
      <c r="F161" s="172" t="s">
        <v>291</v>
      </c>
      <c r="G161" s="133">
        <f>986171.42/1000</f>
        <v>986.17142000000001</v>
      </c>
      <c r="H161" s="133">
        <f t="shared" si="43"/>
        <v>2928.0047279999994</v>
      </c>
      <c r="I161" s="136" t="s">
        <v>253</v>
      </c>
      <c r="J161" s="57">
        <f>2440003.94*1.2/1000</f>
        <v>2928.0047279999994</v>
      </c>
      <c r="K161" s="41"/>
      <c r="L161" s="106"/>
      <c r="M161" s="41"/>
      <c r="N161" s="41"/>
      <c r="O161" s="41"/>
      <c r="P161" s="41"/>
      <c r="Q161" s="41"/>
      <c r="R161" s="41"/>
      <c r="S161" s="41"/>
      <c r="T161" s="41"/>
    </row>
    <row r="162" spans="1:20" ht="42" customHeight="1" x14ac:dyDescent="0.25">
      <c r="A162" s="196"/>
      <c r="B162" s="194"/>
      <c r="C162" s="194"/>
      <c r="D162" s="186"/>
      <c r="E162" s="133">
        <f t="shared" si="44"/>
        <v>7080.0608400000001</v>
      </c>
      <c r="F162" s="172" t="s">
        <v>293</v>
      </c>
      <c r="G162" s="133">
        <f>7080060.84/1000</f>
        <v>7080.0608400000001</v>
      </c>
      <c r="H162" s="133">
        <f t="shared" si="43"/>
        <v>1007.5751639999999</v>
      </c>
      <c r="I162" s="136" t="s">
        <v>254</v>
      </c>
      <c r="J162" s="57">
        <f>839645.97*1.2/1000</f>
        <v>1007.5751639999999</v>
      </c>
      <c r="K162" s="41"/>
      <c r="L162" s="41"/>
      <c r="M162" s="41"/>
      <c r="N162" s="106"/>
      <c r="O162" s="41"/>
      <c r="P162" s="41"/>
      <c r="Q162" s="41"/>
      <c r="R162" s="41"/>
      <c r="S162" s="41"/>
      <c r="T162" s="41"/>
    </row>
    <row r="163" spans="1:20" ht="51" customHeight="1" x14ac:dyDescent="0.25">
      <c r="A163" s="196"/>
      <c r="B163" s="194"/>
      <c r="C163" s="194"/>
      <c r="D163" s="186"/>
      <c r="E163" s="133">
        <f t="shared" si="44"/>
        <v>2928.0047300000001</v>
      </c>
      <c r="F163" s="172" t="s">
        <v>294</v>
      </c>
      <c r="G163" s="133">
        <f>2928004.73/1000</f>
        <v>2928.0047300000001</v>
      </c>
      <c r="H163" s="133">
        <f t="shared" ref="H163:H171" si="45">J163</f>
        <v>1080.975936</v>
      </c>
      <c r="I163" s="136" t="s">
        <v>260</v>
      </c>
      <c r="J163" s="57">
        <f>900813.28*1.2/1000</f>
        <v>1080.975936</v>
      </c>
      <c r="K163" s="41"/>
      <c r="L163" s="41"/>
      <c r="M163" s="41"/>
      <c r="N163" s="41"/>
      <c r="O163" s="41"/>
      <c r="P163" s="41"/>
      <c r="Q163" s="41"/>
      <c r="R163" s="41"/>
      <c r="S163" s="41"/>
      <c r="T163" s="41"/>
    </row>
    <row r="164" spans="1:20" ht="45.75" customHeight="1" x14ac:dyDescent="0.25">
      <c r="A164" s="196"/>
      <c r="B164" s="194"/>
      <c r="C164" s="194"/>
      <c r="D164" s="186"/>
      <c r="E164" s="133">
        <f t="shared" si="44"/>
        <v>1007.57516</v>
      </c>
      <c r="F164" s="172" t="s">
        <v>295</v>
      </c>
      <c r="G164" s="133">
        <f>1007575.16/1000</f>
        <v>1007.57516</v>
      </c>
      <c r="H164" s="133">
        <f t="shared" si="45"/>
        <v>5639.22426</v>
      </c>
      <c r="I164" s="136" t="s">
        <v>261</v>
      </c>
      <c r="J164" s="57">
        <f>4699353.55*1.2/1000</f>
        <v>5639.22426</v>
      </c>
      <c r="K164" s="41"/>
      <c r="L164" s="41"/>
      <c r="M164" s="41"/>
      <c r="N164" s="41"/>
      <c r="O164" s="41"/>
      <c r="P164" s="41"/>
      <c r="Q164" s="41"/>
      <c r="R164" s="41"/>
      <c r="S164" s="41"/>
      <c r="T164" s="41"/>
    </row>
    <row r="165" spans="1:20" ht="45.75" customHeight="1" x14ac:dyDescent="0.25">
      <c r="A165" s="196"/>
      <c r="B165" s="194"/>
      <c r="C165" s="194"/>
      <c r="D165" s="186"/>
      <c r="E165" s="133">
        <f t="shared" ref="E165:E179" si="46">G165</f>
        <v>3309.28577</v>
      </c>
      <c r="F165" s="172" t="s">
        <v>312</v>
      </c>
      <c r="G165" s="133">
        <f>3309285.77/1000</f>
        <v>3309.28577</v>
      </c>
      <c r="H165" s="133">
        <f t="shared" si="45"/>
        <v>1400.571132</v>
      </c>
      <c r="I165" s="136" t="s">
        <v>371</v>
      </c>
      <c r="J165" s="57">
        <f>1167142.61*1.2/1000</f>
        <v>1400.571132</v>
      </c>
      <c r="K165" s="41"/>
      <c r="L165" s="41"/>
      <c r="M165" s="41"/>
      <c r="N165" s="41"/>
      <c r="O165" s="41"/>
      <c r="P165" s="41"/>
      <c r="Q165" s="41"/>
      <c r="R165" s="41"/>
      <c r="S165" s="41"/>
      <c r="T165" s="41"/>
    </row>
    <row r="166" spans="1:20" ht="45.75" customHeight="1" x14ac:dyDescent="0.25">
      <c r="A166" s="196"/>
      <c r="B166" s="194"/>
      <c r="C166" s="194"/>
      <c r="D166" s="186"/>
      <c r="E166" s="133">
        <f t="shared" si="46"/>
        <v>1080.97594</v>
      </c>
      <c r="F166" s="172" t="s">
        <v>313</v>
      </c>
      <c r="G166" s="133">
        <f>1080975.94/1000</f>
        <v>1080.97594</v>
      </c>
      <c r="H166" s="133">
        <f t="shared" si="45"/>
        <v>11.756183999999999</v>
      </c>
      <c r="I166" s="136" t="s">
        <v>372</v>
      </c>
      <c r="J166" s="57">
        <f>9796.82*1.2/1000</f>
        <v>11.756183999999999</v>
      </c>
      <c r="K166" s="41"/>
      <c r="L166" s="41"/>
      <c r="M166" s="41"/>
      <c r="N166" s="41"/>
      <c r="O166" s="41"/>
      <c r="P166" s="41"/>
      <c r="Q166" s="41"/>
      <c r="R166" s="41"/>
      <c r="S166" s="41"/>
      <c r="T166" s="41"/>
    </row>
    <row r="167" spans="1:20" ht="45.75" customHeight="1" x14ac:dyDescent="0.25">
      <c r="A167" s="196"/>
      <c r="B167" s="194"/>
      <c r="C167" s="194"/>
      <c r="D167" s="186"/>
      <c r="E167" s="133">
        <f t="shared" si="46"/>
        <v>2329.93849</v>
      </c>
      <c r="F167" s="172" t="s">
        <v>314</v>
      </c>
      <c r="G167" s="133">
        <f>2329938.49/1000</f>
        <v>2329.93849</v>
      </c>
      <c r="H167" s="133">
        <f t="shared" si="45"/>
        <v>1022.754156</v>
      </c>
      <c r="I167" s="136" t="s">
        <v>373</v>
      </c>
      <c r="J167" s="57">
        <f>852295.13*1.2/1000</f>
        <v>1022.754156</v>
      </c>
      <c r="K167" s="41"/>
      <c r="L167" s="41"/>
      <c r="M167" s="41"/>
      <c r="N167" s="41"/>
      <c r="O167" s="41"/>
      <c r="P167" s="41"/>
      <c r="Q167" s="41"/>
      <c r="R167" s="41"/>
      <c r="S167" s="41"/>
      <c r="T167" s="41"/>
    </row>
    <row r="168" spans="1:20" ht="45.75" customHeight="1" x14ac:dyDescent="0.25">
      <c r="A168" s="196"/>
      <c r="B168" s="194"/>
      <c r="C168" s="194"/>
      <c r="D168" s="186"/>
      <c r="E168" s="133">
        <f t="shared" si="46"/>
        <v>422.14699000000002</v>
      </c>
      <c r="F168" s="172" t="s">
        <v>331</v>
      </c>
      <c r="G168" s="133">
        <f>422146.99/1000</f>
        <v>422.14699000000002</v>
      </c>
      <c r="H168" s="133">
        <f t="shared" si="45"/>
        <v>148.03200000000001</v>
      </c>
      <c r="I168" s="136" t="s">
        <v>374</v>
      </c>
      <c r="J168" s="57">
        <f>123360*1.2/1000</f>
        <v>148.03200000000001</v>
      </c>
      <c r="K168" s="41"/>
      <c r="L168" s="41"/>
      <c r="M168" s="41"/>
      <c r="N168" s="41"/>
      <c r="O168" s="41"/>
      <c r="P168" s="41"/>
      <c r="Q168" s="41"/>
      <c r="R168" s="41"/>
      <c r="S168" s="41"/>
      <c r="T168" s="41"/>
    </row>
    <row r="169" spans="1:20" ht="45.75" customHeight="1" x14ac:dyDescent="0.25">
      <c r="A169" s="196"/>
      <c r="B169" s="194"/>
      <c r="C169" s="194"/>
      <c r="D169" s="186"/>
      <c r="E169" s="133">
        <f t="shared" si="46"/>
        <v>11.75619</v>
      </c>
      <c r="F169" s="172" t="s">
        <v>332</v>
      </c>
      <c r="G169" s="133">
        <f>11756.19/1000</f>
        <v>11.75619</v>
      </c>
      <c r="H169" s="133">
        <f t="shared" si="45"/>
        <v>115.913844</v>
      </c>
      <c r="I169" s="136" t="s">
        <v>375</v>
      </c>
      <c r="J169" s="57">
        <f>96594.87*1.2/1000</f>
        <v>115.913844</v>
      </c>
      <c r="K169" s="41"/>
      <c r="L169" s="41"/>
      <c r="M169" s="41"/>
      <c r="N169" s="41"/>
      <c r="O169" s="41"/>
      <c r="P169" s="41"/>
      <c r="Q169" s="41"/>
      <c r="R169" s="41"/>
      <c r="S169" s="41"/>
      <c r="T169" s="41"/>
    </row>
    <row r="170" spans="1:20" ht="45.75" customHeight="1" x14ac:dyDescent="0.25">
      <c r="A170" s="196"/>
      <c r="B170" s="194"/>
      <c r="C170" s="194"/>
      <c r="D170" s="186"/>
      <c r="E170" s="133">
        <f t="shared" si="46"/>
        <v>1400.5711299999998</v>
      </c>
      <c r="F170" s="172" t="s">
        <v>333</v>
      </c>
      <c r="G170" s="133">
        <f>1400571.13/1000</f>
        <v>1400.5711299999998</v>
      </c>
      <c r="H170" s="133">
        <f t="shared" si="45"/>
        <v>422.14699199999995</v>
      </c>
      <c r="I170" s="136" t="s">
        <v>376</v>
      </c>
      <c r="J170" s="57">
        <f>351789.16*1.2/1000</f>
        <v>422.14699199999995</v>
      </c>
      <c r="K170" s="41"/>
      <c r="L170" s="41"/>
      <c r="M170" s="41"/>
      <c r="N170" s="41"/>
      <c r="O170" s="41"/>
      <c r="P170" s="41"/>
      <c r="Q170" s="41"/>
      <c r="R170" s="41"/>
      <c r="S170" s="41"/>
      <c r="T170" s="41"/>
    </row>
    <row r="171" spans="1:20" ht="45.75" customHeight="1" x14ac:dyDescent="0.25">
      <c r="A171" s="196"/>
      <c r="B171" s="194"/>
      <c r="C171" s="194"/>
      <c r="D171" s="186"/>
      <c r="E171" s="133">
        <f t="shared" si="46"/>
        <v>1022.75415</v>
      </c>
      <c r="F171" s="172" t="s">
        <v>334</v>
      </c>
      <c r="G171" s="133">
        <f>1022754.15/1000</f>
        <v>1022.75415</v>
      </c>
      <c r="H171" s="133">
        <f t="shared" si="45"/>
        <v>7415.1448439999995</v>
      </c>
      <c r="I171" s="136" t="s">
        <v>377</v>
      </c>
      <c r="J171" s="57">
        <f>6179287.37*1.2/1000</f>
        <v>7415.1448439999995</v>
      </c>
      <c r="K171" s="41"/>
      <c r="L171" s="41"/>
      <c r="M171" s="41"/>
      <c r="N171" s="41"/>
      <c r="O171" s="41"/>
      <c r="P171" s="41"/>
      <c r="Q171" s="41"/>
      <c r="R171" s="41"/>
      <c r="S171" s="41"/>
      <c r="T171" s="41"/>
    </row>
    <row r="172" spans="1:20" ht="45.75" customHeight="1" x14ac:dyDescent="0.25">
      <c r="A172" s="196"/>
      <c r="B172" s="194"/>
      <c r="C172" s="194"/>
      <c r="D172" s="186"/>
      <c r="E172" s="133">
        <f t="shared" si="46"/>
        <v>115.91383999999999</v>
      </c>
      <c r="F172" s="172" t="s">
        <v>335</v>
      </c>
      <c r="G172" s="133">
        <f>115913.84/1000</f>
        <v>115.91383999999999</v>
      </c>
      <c r="H172" s="133">
        <f t="shared" ref="H172:H180" si="47">J172</f>
        <v>1018.6647360000001</v>
      </c>
      <c r="I172" s="136" t="s">
        <v>365</v>
      </c>
      <c r="J172" s="57">
        <f>848887.28*1.2/1000</f>
        <v>1018.6647360000001</v>
      </c>
      <c r="K172" s="41"/>
      <c r="L172" s="41"/>
      <c r="M172" s="41"/>
      <c r="N172" s="41"/>
      <c r="O172" s="41"/>
      <c r="P172" s="41"/>
      <c r="Q172" s="41"/>
      <c r="R172" s="41"/>
      <c r="S172" s="41"/>
      <c r="T172" s="41"/>
    </row>
    <row r="173" spans="1:20" ht="45.75" customHeight="1" x14ac:dyDescent="0.25">
      <c r="A173" s="196"/>
      <c r="B173" s="194"/>
      <c r="C173" s="194"/>
      <c r="D173" s="186"/>
      <c r="E173" s="133">
        <f t="shared" si="46"/>
        <v>148.03200000000001</v>
      </c>
      <c r="F173" s="172" t="s">
        <v>336</v>
      </c>
      <c r="G173" s="133">
        <f>148032/1000</f>
        <v>148.03200000000001</v>
      </c>
      <c r="H173" s="133">
        <f t="shared" si="47"/>
        <v>1062.3846120000001</v>
      </c>
      <c r="I173" s="136" t="s">
        <v>366</v>
      </c>
      <c r="J173" s="57">
        <f>885320.51*1.2/1000</f>
        <v>1062.3846120000001</v>
      </c>
      <c r="K173" s="41"/>
      <c r="L173" s="41"/>
      <c r="M173" s="41"/>
      <c r="N173" s="41"/>
      <c r="O173" s="41"/>
      <c r="P173" s="41"/>
      <c r="Q173" s="41"/>
      <c r="R173" s="41"/>
      <c r="S173" s="41"/>
      <c r="T173" s="41"/>
    </row>
    <row r="174" spans="1:20" ht="45.75" customHeight="1" x14ac:dyDescent="0.25">
      <c r="A174" s="196"/>
      <c r="B174" s="194"/>
      <c r="C174" s="194"/>
      <c r="D174" s="186"/>
      <c r="E174" s="133">
        <f t="shared" si="46"/>
        <v>7415.1448399999999</v>
      </c>
      <c r="F174" s="172" t="s">
        <v>337</v>
      </c>
      <c r="G174" s="133">
        <f>7415144.84/1000</f>
        <v>7415.1448399999999</v>
      </c>
      <c r="H174" s="133">
        <f t="shared" si="47"/>
        <v>570.40983600000004</v>
      </c>
      <c r="I174" s="136" t="s">
        <v>367</v>
      </c>
      <c r="J174" s="57">
        <f>475341.53*1.2/1000</f>
        <v>570.40983600000004</v>
      </c>
      <c r="K174" s="41"/>
      <c r="L174" s="41"/>
      <c r="M174" s="41"/>
      <c r="N174" s="41"/>
      <c r="O174" s="41"/>
      <c r="P174" s="41"/>
      <c r="Q174" s="41"/>
      <c r="R174" s="41"/>
      <c r="S174" s="41"/>
      <c r="T174" s="41"/>
    </row>
    <row r="175" spans="1:20" ht="45.75" customHeight="1" x14ac:dyDescent="0.25">
      <c r="A175" s="196"/>
      <c r="B175" s="194"/>
      <c r="C175" s="194"/>
      <c r="D175" s="186"/>
      <c r="E175" s="133">
        <f t="shared" si="46"/>
        <v>493.21850000000001</v>
      </c>
      <c r="F175" s="172" t="s">
        <v>338</v>
      </c>
      <c r="G175" s="133">
        <f>493218.5/1000</f>
        <v>493.21850000000001</v>
      </c>
      <c r="H175" s="133">
        <f t="shared" si="47"/>
        <v>493.21850399999994</v>
      </c>
      <c r="I175" s="136" t="s">
        <v>368</v>
      </c>
      <c r="J175" s="57">
        <f>411015.42*1.2/1000</f>
        <v>493.21850399999994</v>
      </c>
      <c r="K175" s="41"/>
      <c r="L175" s="41"/>
      <c r="M175" s="41"/>
      <c r="N175" s="41"/>
      <c r="O175" s="41"/>
      <c r="P175" s="41"/>
      <c r="Q175" s="41"/>
      <c r="R175" s="41"/>
      <c r="S175" s="41"/>
      <c r="T175" s="41"/>
    </row>
    <row r="176" spans="1:20" ht="45.75" customHeight="1" x14ac:dyDescent="0.25">
      <c r="A176" s="196"/>
      <c r="B176" s="194"/>
      <c r="C176" s="194"/>
      <c r="D176" s="186"/>
      <c r="E176" s="133">
        <f t="shared" si="46"/>
        <v>1062.3846100000001</v>
      </c>
      <c r="F176" s="172" t="s">
        <v>339</v>
      </c>
      <c r="G176" s="133">
        <f>1062384.61/1000</f>
        <v>1062.3846100000001</v>
      </c>
      <c r="H176" s="133">
        <f t="shared" si="47"/>
        <v>6713.1997079999992</v>
      </c>
      <c r="I176" s="136" t="s">
        <v>354</v>
      </c>
      <c r="J176" s="57">
        <f>5594333.09*1.2/1000</f>
        <v>6713.1997079999992</v>
      </c>
      <c r="K176" s="41"/>
      <c r="L176" s="41"/>
      <c r="M176" s="41"/>
      <c r="N176" s="41"/>
      <c r="O176" s="41"/>
      <c r="P176" s="41"/>
      <c r="Q176" s="41"/>
      <c r="R176" s="41"/>
      <c r="S176" s="41"/>
      <c r="T176" s="41"/>
    </row>
    <row r="177" spans="1:20" ht="45.75" customHeight="1" x14ac:dyDescent="0.25">
      <c r="A177" s="196"/>
      <c r="B177" s="194"/>
      <c r="C177" s="194"/>
      <c r="D177" s="186"/>
      <c r="E177" s="133">
        <f t="shared" si="46"/>
        <v>1018.6647399999999</v>
      </c>
      <c r="F177" s="172" t="s">
        <v>340</v>
      </c>
      <c r="G177" s="133">
        <f>1018664.74/1000</f>
        <v>1018.6647399999999</v>
      </c>
      <c r="H177" s="133">
        <f t="shared" si="47"/>
        <v>783.49064399999997</v>
      </c>
      <c r="I177" s="136" t="s">
        <v>355</v>
      </c>
      <c r="J177" s="57">
        <f>652908.87*1.2/1000</f>
        <v>783.49064399999997</v>
      </c>
      <c r="K177" s="41"/>
      <c r="L177" s="41"/>
      <c r="M177" s="41"/>
      <c r="N177" s="41"/>
      <c r="O177" s="41"/>
      <c r="P177" s="41"/>
      <c r="Q177" s="41"/>
      <c r="R177" s="41"/>
      <c r="S177" s="41"/>
      <c r="T177" s="41"/>
    </row>
    <row r="178" spans="1:20" ht="45.75" customHeight="1" x14ac:dyDescent="0.25">
      <c r="A178" s="196"/>
      <c r="B178" s="194"/>
      <c r="C178" s="194"/>
      <c r="D178" s="186"/>
      <c r="E178" s="133">
        <f t="shared" si="46"/>
        <v>570.40983999999992</v>
      </c>
      <c r="F178" s="172" t="s">
        <v>341</v>
      </c>
      <c r="G178" s="133">
        <f>570409.84/1000</f>
        <v>570.40983999999992</v>
      </c>
      <c r="H178" s="133">
        <f t="shared" si="47"/>
        <v>6688.2976920000001</v>
      </c>
      <c r="I178" s="136" t="s">
        <v>356</v>
      </c>
      <c r="J178" s="57">
        <f>5573581.41*1.2/1000</f>
        <v>6688.2976920000001</v>
      </c>
      <c r="K178" s="41"/>
      <c r="L178" s="41"/>
      <c r="M178" s="41"/>
      <c r="N178" s="41"/>
      <c r="O178" s="41"/>
      <c r="P178" s="41"/>
      <c r="Q178" s="41"/>
      <c r="R178" s="41"/>
      <c r="S178" s="41"/>
      <c r="T178" s="41"/>
    </row>
    <row r="179" spans="1:20" ht="45.75" customHeight="1" x14ac:dyDescent="0.25">
      <c r="A179" s="196"/>
      <c r="B179" s="194"/>
      <c r="C179" s="194"/>
      <c r="D179" s="186"/>
      <c r="E179" s="133">
        <f t="shared" si="46"/>
        <v>1855.32231</v>
      </c>
      <c r="F179" s="172" t="s">
        <v>342</v>
      </c>
      <c r="G179" s="133">
        <f>1855322.31/1000</f>
        <v>1855.32231</v>
      </c>
      <c r="H179" s="133">
        <f t="shared" si="47"/>
        <v>4082.6730719999996</v>
      </c>
      <c r="I179" s="136" t="s">
        <v>357</v>
      </c>
      <c r="J179" s="57">
        <f>3402227.56*1.2/1000</f>
        <v>4082.6730719999996</v>
      </c>
      <c r="K179" s="41"/>
      <c r="L179" s="41"/>
      <c r="M179" s="41"/>
      <c r="N179" s="41"/>
      <c r="O179" s="41"/>
      <c r="P179" s="41"/>
      <c r="Q179" s="41"/>
      <c r="R179" s="41"/>
      <c r="S179" s="41"/>
      <c r="T179" s="41"/>
    </row>
    <row r="180" spans="1:20" ht="45.75" customHeight="1" x14ac:dyDescent="0.25">
      <c r="A180" s="196"/>
      <c r="B180" s="195"/>
      <c r="C180" s="195"/>
      <c r="D180" s="187"/>
      <c r="E180" s="133"/>
      <c r="F180" s="172"/>
      <c r="G180" s="133"/>
      <c r="H180" s="133">
        <f t="shared" si="47"/>
        <v>7941.7589519999992</v>
      </c>
      <c r="I180" s="136" t="s">
        <v>358</v>
      </c>
      <c r="J180" s="57">
        <f>6618132.46*1.2/1000</f>
        <v>7941.7589519999992</v>
      </c>
      <c r="K180" s="41"/>
      <c r="L180" s="41"/>
      <c r="M180" s="41"/>
      <c r="N180" s="41"/>
      <c r="O180" s="41"/>
      <c r="P180" s="41"/>
      <c r="Q180" s="41"/>
      <c r="R180" s="41"/>
      <c r="S180" s="41"/>
      <c r="T180" s="41"/>
    </row>
    <row r="181" spans="1:20" ht="35.25" customHeight="1" x14ac:dyDescent="0.25">
      <c r="A181" s="196"/>
      <c r="B181" s="204" t="s">
        <v>37</v>
      </c>
      <c r="C181" s="204" t="s">
        <v>179</v>
      </c>
      <c r="D181" s="202"/>
      <c r="E181" s="133">
        <f t="shared" si="44"/>
        <v>1842.4468440000001</v>
      </c>
      <c r="F181" s="100" t="s">
        <v>187</v>
      </c>
      <c r="G181" s="133">
        <f>1535372.37*1.2/1000</f>
        <v>1842.4468440000001</v>
      </c>
      <c r="H181" s="133"/>
      <c r="I181" s="132"/>
      <c r="J181" s="57"/>
      <c r="K181" s="41"/>
      <c r="L181" s="41"/>
      <c r="M181" s="41"/>
      <c r="N181" s="41"/>
      <c r="O181" s="41"/>
      <c r="P181" s="41"/>
      <c r="Q181" s="41"/>
      <c r="R181" s="41"/>
      <c r="S181" s="41"/>
      <c r="T181" s="41"/>
    </row>
    <row r="182" spans="1:20" ht="33" customHeight="1" x14ac:dyDescent="0.25">
      <c r="A182" s="196"/>
      <c r="B182" s="194"/>
      <c r="C182" s="194"/>
      <c r="D182" s="260"/>
      <c r="E182" s="133">
        <f t="shared" si="44"/>
        <v>1842.4468440000001</v>
      </c>
      <c r="F182" s="100" t="s">
        <v>274</v>
      </c>
      <c r="G182" s="133">
        <f>1535372.37*1.2/1000</f>
        <v>1842.4468440000001</v>
      </c>
      <c r="H182" s="133"/>
      <c r="I182" s="132"/>
      <c r="J182" s="57"/>
      <c r="K182" s="41"/>
      <c r="L182" s="41"/>
      <c r="M182" s="41"/>
      <c r="N182" s="41"/>
      <c r="O182" s="41"/>
      <c r="P182" s="41"/>
      <c r="Q182" s="41"/>
      <c r="R182" s="41"/>
      <c r="S182" s="41"/>
      <c r="T182" s="41"/>
    </row>
    <row r="183" spans="1:20" ht="66" customHeight="1" x14ac:dyDescent="0.25">
      <c r="A183" s="196"/>
      <c r="B183" s="194"/>
      <c r="C183" s="194"/>
      <c r="D183" s="260"/>
      <c r="E183" s="133">
        <f>G183</f>
        <v>4716.6643919999997</v>
      </c>
      <c r="F183" s="100" t="s">
        <v>380</v>
      </c>
      <c r="G183" s="133">
        <f>3930553.66*1.2/1000</f>
        <v>4716.6643919999997</v>
      </c>
      <c r="H183" s="133"/>
      <c r="I183" s="132"/>
      <c r="J183" s="57"/>
      <c r="K183" s="41"/>
      <c r="L183" s="41"/>
      <c r="M183" s="41"/>
      <c r="N183" s="41"/>
      <c r="O183" s="41"/>
      <c r="P183" s="41"/>
      <c r="Q183" s="41"/>
      <c r="R183" s="41"/>
      <c r="S183" s="41"/>
      <c r="T183" s="41"/>
    </row>
    <row r="184" spans="1:20" ht="33" customHeight="1" x14ac:dyDescent="0.25">
      <c r="A184" s="196"/>
      <c r="B184" s="194"/>
      <c r="C184" s="194"/>
      <c r="D184" s="260"/>
      <c r="E184" s="133">
        <f>G184</f>
        <v>790.27312799999993</v>
      </c>
      <c r="F184" s="100" t="s">
        <v>383</v>
      </c>
      <c r="G184" s="133">
        <f>658560.94*1.2/1000</f>
        <v>790.27312799999993</v>
      </c>
      <c r="H184" s="133"/>
      <c r="I184" s="132"/>
      <c r="J184" s="57"/>
      <c r="K184" s="41"/>
      <c r="L184" s="41"/>
      <c r="M184" s="41"/>
      <c r="N184" s="41"/>
      <c r="O184" s="41"/>
      <c r="P184" s="41"/>
      <c r="Q184" s="41"/>
      <c r="R184" s="41"/>
      <c r="S184" s="41"/>
      <c r="T184" s="41"/>
    </row>
    <row r="185" spans="1:20" ht="33" customHeight="1" x14ac:dyDescent="0.25">
      <c r="A185" s="196"/>
      <c r="B185" s="195"/>
      <c r="C185" s="195"/>
      <c r="D185" s="203"/>
      <c r="E185" s="133">
        <f>G185</f>
        <v>2054.7101640000001</v>
      </c>
      <c r="F185" s="100" t="s">
        <v>389</v>
      </c>
      <c r="G185" s="133">
        <f>1712258.47*1.2/1000</f>
        <v>2054.7101640000001</v>
      </c>
      <c r="H185" s="133"/>
      <c r="I185" s="132"/>
      <c r="J185" s="57"/>
      <c r="K185" s="41"/>
      <c r="L185" s="41"/>
      <c r="M185" s="41"/>
      <c r="N185" s="41"/>
      <c r="O185" s="41"/>
      <c r="P185" s="41"/>
      <c r="Q185" s="41"/>
      <c r="R185" s="41"/>
      <c r="S185" s="41"/>
      <c r="T185" s="41"/>
    </row>
    <row r="186" spans="1:20" ht="33" customHeight="1" x14ac:dyDescent="0.25">
      <c r="A186" s="196"/>
      <c r="B186" s="249" t="s">
        <v>212</v>
      </c>
      <c r="C186" s="250" t="s">
        <v>213</v>
      </c>
      <c r="D186" s="267"/>
      <c r="E186" s="133">
        <f t="shared" si="44"/>
        <v>6283.9250000000002</v>
      </c>
      <c r="F186" s="100" t="s">
        <v>225</v>
      </c>
      <c r="G186" s="133">
        <f>6283925/1000</f>
        <v>6283.9250000000002</v>
      </c>
      <c r="H186" s="133"/>
      <c r="I186" s="132"/>
      <c r="J186" s="57"/>
      <c r="K186" s="41"/>
      <c r="L186" s="41"/>
      <c r="M186" s="41"/>
      <c r="N186" s="41"/>
      <c r="O186" s="41"/>
      <c r="P186" s="41"/>
      <c r="Q186" s="41"/>
      <c r="R186" s="41"/>
      <c r="S186" s="41"/>
      <c r="T186" s="41"/>
    </row>
    <row r="187" spans="1:20" ht="33.75" customHeight="1" x14ac:dyDescent="0.25">
      <c r="A187" s="196"/>
      <c r="B187" s="270"/>
      <c r="C187" s="250"/>
      <c r="D187" s="268"/>
      <c r="E187" s="133">
        <f t="shared" si="44"/>
        <v>6283.9250000000002</v>
      </c>
      <c r="F187" s="100" t="s">
        <v>214</v>
      </c>
      <c r="G187" s="133">
        <f>6283925/1000</f>
        <v>6283.9250000000002</v>
      </c>
      <c r="H187" s="133"/>
      <c r="I187" s="132"/>
      <c r="J187" s="57"/>
      <c r="K187" s="41"/>
      <c r="L187" s="41"/>
      <c r="M187" s="41"/>
      <c r="N187" s="41"/>
      <c r="O187" s="41"/>
      <c r="P187" s="41"/>
      <c r="Q187" s="41"/>
      <c r="R187" s="41"/>
      <c r="S187" s="41"/>
      <c r="T187" s="41"/>
    </row>
    <row r="188" spans="1:20" ht="33.75" customHeight="1" x14ac:dyDescent="0.25">
      <c r="A188" s="196"/>
      <c r="B188" s="270"/>
      <c r="C188" s="250"/>
      <c r="D188" s="268"/>
      <c r="E188" s="133">
        <f t="shared" si="44"/>
        <v>7540.7107500000002</v>
      </c>
      <c r="F188" s="100" t="s">
        <v>292</v>
      </c>
      <c r="G188" s="133">
        <f>7540710.75/1000</f>
        <v>7540.7107500000002</v>
      </c>
      <c r="H188" s="133"/>
      <c r="I188" s="132"/>
      <c r="J188" s="57"/>
      <c r="K188" s="41"/>
      <c r="L188" s="41"/>
      <c r="M188" s="41"/>
      <c r="N188" s="41"/>
      <c r="O188" s="41"/>
      <c r="P188" s="41"/>
      <c r="Q188" s="41"/>
      <c r="R188" s="41"/>
      <c r="S188" s="41"/>
      <c r="T188" s="41"/>
    </row>
    <row r="189" spans="1:20" ht="33.75" customHeight="1" x14ac:dyDescent="0.25">
      <c r="A189" s="196"/>
      <c r="B189" s="270"/>
      <c r="C189" s="250"/>
      <c r="D189" s="268"/>
      <c r="E189" s="133">
        <f t="shared" si="44"/>
        <v>8546.1388499999994</v>
      </c>
      <c r="F189" s="100" t="s">
        <v>296</v>
      </c>
      <c r="G189" s="133">
        <f>8546138.85/1000</f>
        <v>8546.1388499999994</v>
      </c>
      <c r="H189" s="133"/>
      <c r="I189" s="132"/>
      <c r="J189" s="57"/>
      <c r="K189" s="41"/>
      <c r="L189" s="41"/>
      <c r="M189" s="41"/>
      <c r="N189" s="41"/>
      <c r="O189" s="41"/>
      <c r="P189" s="41"/>
      <c r="Q189" s="41"/>
      <c r="R189" s="41"/>
      <c r="S189" s="41"/>
      <c r="T189" s="41"/>
    </row>
    <row r="190" spans="1:20" ht="33.75" customHeight="1" x14ac:dyDescent="0.25">
      <c r="A190" s="196"/>
      <c r="B190" s="270"/>
      <c r="C190" s="250"/>
      <c r="D190" s="268"/>
      <c r="E190" s="133">
        <f>G190</f>
        <v>5806.56185</v>
      </c>
      <c r="F190" s="100" t="s">
        <v>315</v>
      </c>
      <c r="G190" s="133">
        <f>5806561.85/1000</f>
        <v>5806.56185</v>
      </c>
      <c r="H190" s="133"/>
      <c r="I190" s="132"/>
      <c r="J190" s="57"/>
      <c r="K190" s="41"/>
      <c r="L190" s="41"/>
      <c r="M190" s="41"/>
      <c r="N190" s="41"/>
      <c r="O190" s="41"/>
      <c r="P190" s="41"/>
      <c r="Q190" s="41"/>
      <c r="R190" s="41"/>
      <c r="S190" s="41"/>
      <c r="T190" s="41"/>
    </row>
    <row r="191" spans="1:20" ht="33.75" customHeight="1" x14ac:dyDescent="0.25">
      <c r="A191" s="196"/>
      <c r="B191" s="243"/>
      <c r="C191" s="250"/>
      <c r="D191" s="269"/>
      <c r="E191" s="133">
        <f>G191</f>
        <v>15097.060810000001</v>
      </c>
      <c r="F191" s="100" t="s">
        <v>347</v>
      </c>
      <c r="G191" s="133">
        <f>15097060.81/1000</f>
        <v>15097.060810000001</v>
      </c>
      <c r="H191" s="133"/>
      <c r="I191" s="132"/>
      <c r="J191" s="57"/>
      <c r="K191" s="41"/>
      <c r="L191" s="41"/>
      <c r="M191" s="41"/>
      <c r="N191" s="41"/>
      <c r="O191" s="41"/>
      <c r="P191" s="41"/>
      <c r="Q191" s="41"/>
      <c r="R191" s="41"/>
      <c r="S191" s="41"/>
      <c r="T191" s="41"/>
    </row>
    <row r="192" spans="1:20" ht="27" customHeight="1" x14ac:dyDescent="0.25">
      <c r="A192" s="196"/>
      <c r="B192" s="200" t="s">
        <v>237</v>
      </c>
      <c r="C192" s="256"/>
      <c r="D192" s="201"/>
      <c r="E192" s="111">
        <f>+G192</f>
        <v>19.427199999999999</v>
      </c>
      <c r="F192" s="170" t="s">
        <v>13</v>
      </c>
      <c r="G192" s="111">
        <f>19427.2/1000</f>
        <v>19.427199999999999</v>
      </c>
      <c r="H192" s="54">
        <f t="shared" ref="H192" si="48">J192</f>
        <v>19.427199999999999</v>
      </c>
      <c r="I192" s="138" t="s">
        <v>13</v>
      </c>
      <c r="J192" s="112">
        <f>19427.2/1000</f>
        <v>19.427199999999999</v>
      </c>
      <c r="K192" s="41"/>
      <c r="L192" s="41"/>
      <c r="M192" s="41"/>
      <c r="N192" s="41"/>
      <c r="O192" s="41"/>
      <c r="P192" s="41"/>
      <c r="Q192" s="41"/>
      <c r="R192" s="41"/>
      <c r="S192" s="41"/>
      <c r="T192" s="41"/>
    </row>
    <row r="193" spans="1:20" ht="23.25" customHeight="1" x14ac:dyDescent="0.25">
      <c r="A193" s="196"/>
      <c r="B193" s="200" t="s">
        <v>217</v>
      </c>
      <c r="C193" s="256"/>
      <c r="D193" s="201"/>
      <c r="E193" s="111">
        <f>+G193</f>
        <v>43.017379999999996</v>
      </c>
      <c r="F193" s="170" t="s">
        <v>13</v>
      </c>
      <c r="G193" s="111">
        <f>43017.38/1000</f>
        <v>43.017379999999996</v>
      </c>
      <c r="H193" s="54">
        <f t="shared" ref="H193" si="49">J193</f>
        <v>43.017379999999996</v>
      </c>
      <c r="I193" s="138" t="s">
        <v>13</v>
      </c>
      <c r="J193" s="112">
        <f>43017.38/1000</f>
        <v>43.017379999999996</v>
      </c>
      <c r="K193" s="41"/>
      <c r="L193" s="41"/>
      <c r="M193" s="41"/>
      <c r="N193" s="41"/>
      <c r="O193" s="41"/>
      <c r="P193" s="41"/>
      <c r="Q193" s="41"/>
      <c r="R193" s="41"/>
      <c r="S193" s="41"/>
      <c r="T193" s="41"/>
    </row>
    <row r="194" spans="1:20" ht="23.25" customHeight="1" x14ac:dyDescent="0.25">
      <c r="A194" s="196"/>
      <c r="B194" s="200" t="s">
        <v>238</v>
      </c>
      <c r="C194" s="256"/>
      <c r="D194" s="201"/>
      <c r="E194" s="111">
        <f>+G194</f>
        <v>82.725660000000005</v>
      </c>
      <c r="F194" s="170" t="s">
        <v>13</v>
      </c>
      <c r="G194" s="111">
        <f>82725.66/1000</f>
        <v>82.725660000000005</v>
      </c>
      <c r="H194" s="113">
        <f t="shared" ref="H194" si="50">J194</f>
        <v>82.725660000000005</v>
      </c>
      <c r="I194" s="138" t="s">
        <v>13</v>
      </c>
      <c r="J194" s="112">
        <f>82725.66/1000</f>
        <v>82.725660000000005</v>
      </c>
      <c r="K194" s="41"/>
      <c r="L194" s="41"/>
      <c r="M194" s="41"/>
      <c r="N194" s="41"/>
      <c r="O194" s="41"/>
      <c r="P194" s="41"/>
      <c r="Q194" s="41"/>
      <c r="R194" s="41"/>
      <c r="S194" s="41"/>
      <c r="T194" s="41"/>
    </row>
    <row r="195" spans="1:20" ht="23.25" customHeight="1" x14ac:dyDescent="0.25">
      <c r="A195" s="196"/>
      <c r="B195" s="200" t="s">
        <v>297</v>
      </c>
      <c r="C195" s="256"/>
      <c r="D195" s="201"/>
      <c r="E195" s="111">
        <f>+G195</f>
        <v>191.83875</v>
      </c>
      <c r="F195" s="170" t="s">
        <v>13</v>
      </c>
      <c r="G195" s="133">
        <f>191838.75/1000</f>
        <v>191.83875</v>
      </c>
      <c r="H195" s="113">
        <f t="shared" ref="H195" si="51">J195</f>
        <v>191.83875</v>
      </c>
      <c r="I195" s="138" t="s">
        <v>13</v>
      </c>
      <c r="J195" s="112">
        <v>191.83875</v>
      </c>
      <c r="K195" s="41"/>
      <c r="L195" s="41"/>
      <c r="M195" s="41"/>
      <c r="N195" s="41"/>
      <c r="O195" s="41"/>
      <c r="P195" s="41"/>
      <c r="Q195" s="41"/>
      <c r="R195" s="41"/>
      <c r="S195" s="41"/>
      <c r="T195" s="41"/>
    </row>
    <row r="196" spans="1:20" ht="23.25" customHeight="1" x14ac:dyDescent="0.25">
      <c r="A196" s="196"/>
      <c r="B196" s="200" t="s">
        <v>316</v>
      </c>
      <c r="C196" s="256"/>
      <c r="D196" s="201"/>
      <c r="E196" s="111">
        <f>G196</f>
        <v>250.31333999999998</v>
      </c>
      <c r="F196" s="170" t="s">
        <v>13</v>
      </c>
      <c r="G196" s="133">
        <f>250313.34/1000</f>
        <v>250.31333999999998</v>
      </c>
      <c r="H196" s="146">
        <f>J196</f>
        <v>250.31333999999998</v>
      </c>
      <c r="I196" s="138" t="s">
        <v>13</v>
      </c>
      <c r="J196" s="159">
        <f>250313.34/1000</f>
        <v>250.31333999999998</v>
      </c>
      <c r="K196" s="41"/>
      <c r="L196" s="41"/>
      <c r="M196" s="41"/>
      <c r="N196" s="41"/>
      <c r="O196" s="41"/>
      <c r="P196" s="41"/>
      <c r="Q196" s="41"/>
      <c r="R196" s="41"/>
      <c r="S196" s="41"/>
      <c r="T196" s="41"/>
    </row>
    <row r="197" spans="1:20" ht="23.25" customHeight="1" x14ac:dyDescent="0.25">
      <c r="A197" s="196"/>
      <c r="B197" s="200" t="s">
        <v>343</v>
      </c>
      <c r="C197" s="256"/>
      <c r="D197" s="201"/>
      <c r="E197" s="111">
        <f>G197</f>
        <v>298.46297999999996</v>
      </c>
      <c r="F197" s="170" t="s">
        <v>13</v>
      </c>
      <c r="G197" s="133">
        <f>298462.98/1000</f>
        <v>298.46297999999996</v>
      </c>
      <c r="H197" s="146">
        <f>J197</f>
        <v>298.46297999999996</v>
      </c>
      <c r="I197" s="138" t="s">
        <v>13</v>
      </c>
      <c r="J197" s="159">
        <f>298462.98/1000</f>
        <v>298.46297999999996</v>
      </c>
      <c r="K197" s="41"/>
      <c r="L197" s="41"/>
      <c r="M197" s="41"/>
      <c r="N197" s="41"/>
      <c r="O197" s="41"/>
      <c r="P197" s="41"/>
      <c r="Q197" s="41"/>
      <c r="R197" s="41"/>
      <c r="S197" s="41"/>
      <c r="T197" s="41"/>
    </row>
    <row r="198" spans="1:20" ht="23.25" customHeight="1" x14ac:dyDescent="0.25">
      <c r="A198" s="196"/>
      <c r="B198" s="220" t="s">
        <v>227</v>
      </c>
      <c r="C198" s="220"/>
      <c r="D198" s="220"/>
      <c r="E198" s="114"/>
      <c r="F198" s="114"/>
      <c r="G198" s="114"/>
      <c r="H198" s="133">
        <f t="shared" ref="H198:H205" si="52">J198</f>
        <v>9101.536415999999</v>
      </c>
      <c r="I198" s="58" t="s">
        <v>13</v>
      </c>
      <c r="J198" s="57">
        <f>7584613.68*1.2/1000</f>
        <v>9101.536415999999</v>
      </c>
      <c r="K198" s="41"/>
      <c r="L198" s="41"/>
      <c r="M198" s="41"/>
      <c r="N198" s="41"/>
      <c r="O198" s="41"/>
      <c r="P198" s="41"/>
      <c r="Q198" s="41"/>
      <c r="R198" s="41"/>
      <c r="S198" s="41"/>
      <c r="T198" s="41"/>
    </row>
    <row r="199" spans="1:20" ht="23.25" customHeight="1" x14ac:dyDescent="0.25">
      <c r="A199" s="196"/>
      <c r="B199" s="220" t="s">
        <v>220</v>
      </c>
      <c r="C199" s="220"/>
      <c r="D199" s="220"/>
      <c r="E199" s="114"/>
      <c r="F199" s="114"/>
      <c r="G199" s="114"/>
      <c r="H199" s="133">
        <f t="shared" si="52"/>
        <v>20362.515108</v>
      </c>
      <c r="I199" s="58" t="s">
        <v>13</v>
      </c>
      <c r="J199" s="57">
        <f>5473654.89*1.2/1000+6068899.24*1.2/1000+5426208.46*1.2/1000</f>
        <v>20362.515108</v>
      </c>
      <c r="K199" s="41"/>
      <c r="L199" s="41"/>
      <c r="M199" s="41"/>
      <c r="N199" s="41"/>
      <c r="O199" s="41"/>
      <c r="P199" s="41"/>
      <c r="Q199" s="41"/>
      <c r="R199" s="41"/>
      <c r="S199" s="41"/>
      <c r="T199" s="41"/>
    </row>
    <row r="200" spans="1:20" ht="23.25" customHeight="1" x14ac:dyDescent="0.25">
      <c r="A200" s="196"/>
      <c r="B200" s="220" t="s">
        <v>239</v>
      </c>
      <c r="C200" s="220"/>
      <c r="D200" s="220"/>
      <c r="E200" s="114"/>
      <c r="F200" s="114"/>
      <c r="G200" s="114"/>
      <c r="H200" s="133">
        <f t="shared" si="52"/>
        <v>6915.1807679999993</v>
      </c>
      <c r="I200" s="58" t="s">
        <v>13</v>
      </c>
      <c r="J200" s="57">
        <f>5762650.64*1.2/1000</f>
        <v>6915.1807679999993</v>
      </c>
      <c r="K200" s="41"/>
      <c r="L200" s="41"/>
      <c r="M200" s="41"/>
      <c r="N200" s="41"/>
      <c r="O200" s="41"/>
      <c r="P200" s="41"/>
      <c r="Q200" s="41"/>
      <c r="R200" s="41"/>
      <c r="S200" s="41"/>
      <c r="T200" s="41"/>
    </row>
    <row r="201" spans="1:20" ht="23.25" customHeight="1" x14ac:dyDescent="0.25">
      <c r="A201" s="196"/>
      <c r="B201" s="220" t="s">
        <v>300</v>
      </c>
      <c r="C201" s="220"/>
      <c r="D201" s="220"/>
      <c r="E201" s="90"/>
      <c r="F201" s="90"/>
      <c r="G201" s="90"/>
      <c r="H201" s="133">
        <f>J201</f>
        <v>6250.1860079999997</v>
      </c>
      <c r="I201" s="58" t="s">
        <v>13</v>
      </c>
      <c r="J201" s="57">
        <f>5208488.34*1.2/1000</f>
        <v>6250.1860079999997</v>
      </c>
      <c r="K201" s="41"/>
      <c r="L201" s="41"/>
      <c r="M201" s="41"/>
      <c r="N201" s="41"/>
      <c r="O201" s="41"/>
      <c r="P201" s="41"/>
      <c r="Q201" s="41"/>
      <c r="R201" s="41"/>
      <c r="S201" s="41"/>
      <c r="T201" s="41"/>
    </row>
    <row r="202" spans="1:20" ht="23.25" customHeight="1" x14ac:dyDescent="0.25">
      <c r="A202" s="196"/>
      <c r="B202" s="220" t="s">
        <v>325</v>
      </c>
      <c r="C202" s="220"/>
      <c r="D202" s="220"/>
      <c r="E202" s="90"/>
      <c r="F202" s="90"/>
      <c r="G202" s="90"/>
      <c r="H202" s="133">
        <f>J202</f>
        <v>17905.128960000002</v>
      </c>
      <c r="I202" s="58" t="s">
        <v>13</v>
      </c>
      <c r="J202" s="57">
        <f>14920940.8*1.2/1000</f>
        <v>17905.128960000002</v>
      </c>
      <c r="K202" s="41"/>
      <c r="L202" s="41"/>
      <c r="M202" s="41"/>
      <c r="N202" s="41"/>
      <c r="O202" s="41"/>
      <c r="P202" s="41"/>
      <c r="Q202" s="41"/>
      <c r="R202" s="41"/>
      <c r="S202" s="41"/>
      <c r="T202" s="41"/>
    </row>
    <row r="203" spans="1:20" ht="26.25" customHeight="1" x14ac:dyDescent="0.25">
      <c r="A203" s="196"/>
      <c r="B203" s="243" t="s">
        <v>176</v>
      </c>
      <c r="C203" s="244"/>
      <c r="D203" s="245"/>
      <c r="E203" s="133">
        <f t="shared" ref="E203:E208" si="53">G203</f>
        <v>161.17396486000001</v>
      </c>
      <c r="F203" s="172"/>
      <c r="G203" s="133">
        <v>161.17396486000001</v>
      </c>
      <c r="H203" s="133">
        <f t="shared" si="52"/>
        <v>276.49018000000001</v>
      </c>
      <c r="I203" s="136"/>
      <c r="J203" s="57">
        <v>276.49018000000001</v>
      </c>
      <c r="K203" s="41"/>
      <c r="L203" s="41"/>
      <c r="M203" s="41"/>
      <c r="N203" s="41"/>
      <c r="O203" s="41"/>
      <c r="P203" s="41"/>
      <c r="Q203" s="41"/>
      <c r="R203" s="41"/>
      <c r="S203" s="41"/>
      <c r="T203" s="41"/>
    </row>
    <row r="204" spans="1:20" ht="23.25" customHeight="1" x14ac:dyDescent="0.25">
      <c r="A204" s="196"/>
      <c r="B204" s="246" t="s">
        <v>177</v>
      </c>
      <c r="C204" s="247"/>
      <c r="D204" s="248"/>
      <c r="E204" s="54">
        <f t="shared" si="53"/>
        <v>303.30739743000004</v>
      </c>
      <c r="F204" s="58"/>
      <c r="G204" s="54">
        <v>303.30739743000004</v>
      </c>
      <c r="H204" s="54">
        <f t="shared" si="52"/>
        <v>521.27642000000003</v>
      </c>
      <c r="I204" s="58"/>
      <c r="J204" s="59">
        <v>521.27642000000003</v>
      </c>
      <c r="K204" s="41"/>
      <c r="L204" s="41"/>
      <c r="M204" s="41"/>
      <c r="N204" s="41"/>
      <c r="O204" s="41"/>
      <c r="P204" s="41"/>
      <c r="Q204" s="41"/>
      <c r="R204" s="41"/>
      <c r="S204" s="41"/>
      <c r="T204" s="41"/>
    </row>
    <row r="205" spans="1:20" ht="22.5" customHeight="1" x14ac:dyDescent="0.25">
      <c r="A205" s="196"/>
      <c r="B205" s="246" t="s">
        <v>178</v>
      </c>
      <c r="C205" s="247"/>
      <c r="D205" s="248"/>
      <c r="E205" s="54">
        <f t="shared" si="53"/>
        <v>580.70374300000003</v>
      </c>
      <c r="F205" s="58"/>
      <c r="G205" s="54">
        <f>580703.743/1000</f>
        <v>580.70374300000003</v>
      </c>
      <c r="H205" s="54">
        <f t="shared" si="52"/>
        <v>538.40992000000006</v>
      </c>
      <c r="I205" s="58"/>
      <c r="J205" s="59">
        <f>538409.92/1000</f>
        <v>538.40992000000006</v>
      </c>
      <c r="K205" s="41"/>
      <c r="L205" s="41"/>
      <c r="M205" s="41"/>
      <c r="N205" s="41"/>
      <c r="O205" s="41"/>
      <c r="P205" s="41"/>
      <c r="Q205" s="41"/>
      <c r="R205" s="41"/>
      <c r="S205" s="41"/>
      <c r="T205" s="41"/>
    </row>
    <row r="206" spans="1:20" ht="22.5" customHeight="1" x14ac:dyDescent="0.25">
      <c r="A206" s="196"/>
      <c r="B206" s="243" t="s">
        <v>198</v>
      </c>
      <c r="C206" s="244"/>
      <c r="D206" s="245"/>
      <c r="E206" s="133">
        <f t="shared" si="53"/>
        <v>579.31354899999997</v>
      </c>
      <c r="F206" s="172"/>
      <c r="G206" s="133">
        <f>579313.549/1000</f>
        <v>579.31354899999997</v>
      </c>
      <c r="H206" s="133">
        <f t="shared" ref="H206:H212" si="54">J206</f>
        <v>631.69577000000004</v>
      </c>
      <c r="I206" s="136"/>
      <c r="J206" s="57">
        <f>631695.77/1000</f>
        <v>631.69577000000004</v>
      </c>
      <c r="K206" s="41"/>
      <c r="L206" s="41"/>
      <c r="M206" s="41"/>
      <c r="N206" s="41"/>
      <c r="O206" s="41"/>
      <c r="P206" s="41"/>
      <c r="Q206" s="41"/>
      <c r="R206" s="41"/>
      <c r="S206" s="41"/>
      <c r="T206" s="41"/>
    </row>
    <row r="207" spans="1:20" ht="22.5" customHeight="1" x14ac:dyDescent="0.25">
      <c r="A207" s="196"/>
      <c r="B207" s="246" t="s">
        <v>199</v>
      </c>
      <c r="C207" s="247"/>
      <c r="D207" s="248"/>
      <c r="E207" s="54">
        <f t="shared" si="53"/>
        <v>568.43163600000003</v>
      </c>
      <c r="F207" s="58"/>
      <c r="G207" s="54">
        <v>568.43163600000003</v>
      </c>
      <c r="H207" s="54">
        <f t="shared" si="54"/>
        <v>440.57923999999997</v>
      </c>
      <c r="I207" s="58"/>
      <c r="J207" s="59">
        <f>440579.24/1000</f>
        <v>440.57923999999997</v>
      </c>
      <c r="K207" s="41"/>
      <c r="L207" s="41"/>
      <c r="M207" s="41"/>
      <c r="N207" s="41"/>
      <c r="O207" s="41"/>
      <c r="P207" s="41"/>
      <c r="Q207" s="41"/>
      <c r="R207" s="41"/>
      <c r="S207" s="41"/>
      <c r="T207" s="41"/>
    </row>
    <row r="208" spans="1:20" ht="22.5" customHeight="1" x14ac:dyDescent="0.25">
      <c r="A208" s="196"/>
      <c r="B208" s="246" t="s">
        <v>200</v>
      </c>
      <c r="C208" s="247"/>
      <c r="D208" s="248"/>
      <c r="E208" s="54">
        <f t="shared" si="53"/>
        <v>468.35152929999998</v>
      </c>
      <c r="F208" s="58"/>
      <c r="G208" s="54">
        <v>468.35152929999998</v>
      </c>
      <c r="H208" s="54">
        <f t="shared" si="54"/>
        <v>542.57168999999999</v>
      </c>
      <c r="I208" s="58"/>
      <c r="J208" s="59">
        <f>542571.69/1000</f>
        <v>542.57168999999999</v>
      </c>
      <c r="K208" s="41"/>
      <c r="L208" s="41"/>
      <c r="M208" s="41"/>
      <c r="N208" s="41"/>
      <c r="O208" s="41"/>
      <c r="P208" s="41"/>
      <c r="Q208" s="41"/>
      <c r="R208" s="41"/>
      <c r="S208" s="41"/>
      <c r="T208" s="41"/>
    </row>
    <row r="209" spans="1:20" ht="27.75" customHeight="1" x14ac:dyDescent="0.25">
      <c r="A209" s="196"/>
      <c r="B209" s="243" t="s">
        <v>285</v>
      </c>
      <c r="C209" s="244"/>
      <c r="D209" s="245"/>
      <c r="E209" s="133">
        <f>G209</f>
        <v>539.72060999999997</v>
      </c>
      <c r="F209" s="172"/>
      <c r="G209" s="133">
        <v>539.72060999999997</v>
      </c>
      <c r="H209" s="133">
        <f t="shared" si="54"/>
        <v>535.51968999999997</v>
      </c>
      <c r="I209" s="136"/>
      <c r="J209" s="57">
        <f>535519.69/1000</f>
        <v>535.51968999999997</v>
      </c>
      <c r="K209" s="41"/>
      <c r="L209" s="41"/>
      <c r="M209" s="41"/>
      <c r="N209" s="41"/>
      <c r="O209" s="41"/>
      <c r="P209" s="41"/>
      <c r="Q209" s="41"/>
      <c r="R209" s="41"/>
      <c r="S209" s="41"/>
      <c r="T209" s="41"/>
    </row>
    <row r="210" spans="1:20" ht="22.5" customHeight="1" x14ac:dyDescent="0.25">
      <c r="A210" s="196"/>
      <c r="B210" s="243" t="s">
        <v>286</v>
      </c>
      <c r="C210" s="244"/>
      <c r="D210" s="245"/>
      <c r="E210" s="133">
        <f>G210</f>
        <v>541.80143899999996</v>
      </c>
      <c r="F210" s="172"/>
      <c r="G210" s="133">
        <v>541.80143899999996</v>
      </c>
      <c r="H210" s="133">
        <f t="shared" si="54"/>
        <v>526.17281000000003</v>
      </c>
      <c r="I210" s="136"/>
      <c r="J210" s="57">
        <f>116.16517+410.00764</f>
        <v>526.17281000000003</v>
      </c>
      <c r="K210" s="41"/>
      <c r="L210" s="41"/>
      <c r="M210" s="41"/>
      <c r="N210" s="41"/>
      <c r="O210" s="41"/>
      <c r="P210" s="41"/>
      <c r="Q210" s="41"/>
      <c r="R210" s="41"/>
      <c r="S210" s="41"/>
      <c r="T210" s="41"/>
    </row>
    <row r="211" spans="1:20" ht="25.5" customHeight="1" thickBot="1" x14ac:dyDescent="0.3">
      <c r="A211" s="176"/>
      <c r="B211" s="197" t="s">
        <v>324</v>
      </c>
      <c r="C211" s="198"/>
      <c r="D211" s="199"/>
      <c r="E211" s="133">
        <f>G211</f>
        <v>500.63927899999999</v>
      </c>
      <c r="F211" s="172"/>
      <c r="G211" s="158">
        <v>500.63927899999999</v>
      </c>
      <c r="H211" s="133">
        <f t="shared" si="54"/>
        <v>499.14064000000002</v>
      </c>
      <c r="I211" s="136"/>
      <c r="J211" s="57">
        <v>499.14064000000002</v>
      </c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ht="48.75" customHeight="1" x14ac:dyDescent="0.25">
      <c r="A212" s="175" t="s">
        <v>125</v>
      </c>
      <c r="B212" s="142" t="s">
        <v>317</v>
      </c>
      <c r="C212" s="137" t="s">
        <v>219</v>
      </c>
      <c r="D212" s="143"/>
      <c r="E212" s="55"/>
      <c r="F212" s="12"/>
      <c r="G212" s="55"/>
      <c r="H212" s="55">
        <f t="shared" si="54"/>
        <v>710.26214399999992</v>
      </c>
      <c r="I212" s="12" t="s">
        <v>369</v>
      </c>
      <c r="J212" s="13">
        <f>591885.12*1.2/1000</f>
        <v>710.26214399999992</v>
      </c>
      <c r="K212" s="41"/>
      <c r="L212" s="41"/>
      <c r="M212" s="41"/>
      <c r="N212" s="41"/>
      <c r="O212" s="41"/>
      <c r="P212" s="41"/>
      <c r="Q212" s="41"/>
      <c r="R212" s="41"/>
      <c r="S212" s="41"/>
      <c r="T212" s="41"/>
    </row>
    <row r="213" spans="1:20" ht="24.75" customHeight="1" x14ac:dyDescent="0.25">
      <c r="A213" s="196"/>
      <c r="B213" s="243" t="s">
        <v>121</v>
      </c>
      <c r="C213" s="244"/>
      <c r="D213" s="245"/>
      <c r="E213" s="133">
        <f t="shared" si="40"/>
        <v>25.369174879999999</v>
      </c>
      <c r="F213" s="172"/>
      <c r="G213" s="133">
        <v>25.369174879999999</v>
      </c>
      <c r="H213" s="133">
        <f t="shared" si="41"/>
        <v>66.594169999999991</v>
      </c>
      <c r="I213" s="136"/>
      <c r="J213" s="57">
        <v>66.594169999999991</v>
      </c>
      <c r="K213" s="41"/>
      <c r="L213" s="41"/>
      <c r="M213" s="41"/>
      <c r="N213" s="41"/>
      <c r="O213" s="41"/>
      <c r="P213" s="41"/>
      <c r="Q213" s="41"/>
      <c r="R213" s="41"/>
      <c r="S213" s="41"/>
      <c r="T213" s="41"/>
    </row>
    <row r="214" spans="1:20" ht="24.75" customHeight="1" x14ac:dyDescent="0.25">
      <c r="A214" s="196"/>
      <c r="B214" s="243" t="s">
        <v>176</v>
      </c>
      <c r="C214" s="244"/>
      <c r="D214" s="245"/>
      <c r="E214" s="133">
        <f t="shared" ref="E214:E220" si="55">G214</f>
        <v>51.819801420000005</v>
      </c>
      <c r="F214" s="172"/>
      <c r="G214" s="133">
        <v>51.819801420000005</v>
      </c>
      <c r="H214" s="133">
        <f t="shared" ref="H214:H219" si="56">J214</f>
        <v>27.047930000000001</v>
      </c>
      <c r="I214" s="136"/>
      <c r="J214" s="57">
        <v>27.047930000000001</v>
      </c>
      <c r="K214" s="41"/>
      <c r="L214" s="41"/>
      <c r="M214" s="41"/>
      <c r="N214" s="41"/>
      <c r="O214" s="41"/>
      <c r="P214" s="41"/>
      <c r="Q214" s="41"/>
      <c r="R214" s="41"/>
      <c r="S214" s="41"/>
      <c r="T214" s="41"/>
    </row>
    <row r="215" spans="1:20" ht="27.75" customHeight="1" x14ac:dyDescent="0.25">
      <c r="A215" s="196"/>
      <c r="B215" s="246" t="s">
        <v>177</v>
      </c>
      <c r="C215" s="247"/>
      <c r="D215" s="248"/>
      <c r="E215" s="54">
        <f t="shared" si="55"/>
        <v>17.301655999999998</v>
      </c>
      <c r="F215" s="58"/>
      <c r="G215" s="54">
        <v>17.301655999999998</v>
      </c>
      <c r="H215" s="54">
        <f t="shared" si="56"/>
        <v>3.2783000000000002</v>
      </c>
      <c r="I215" s="58"/>
      <c r="J215" s="59">
        <v>3.2783000000000002</v>
      </c>
      <c r="K215" s="41"/>
      <c r="L215" s="41"/>
      <c r="M215" s="41"/>
      <c r="N215" s="41"/>
      <c r="O215" s="41"/>
      <c r="P215" s="41"/>
      <c r="Q215" s="41"/>
      <c r="R215" s="41"/>
      <c r="S215" s="41"/>
      <c r="T215" s="41"/>
    </row>
    <row r="216" spans="1:20" ht="29.25" customHeight="1" x14ac:dyDescent="0.25">
      <c r="A216" s="196"/>
      <c r="B216" s="246" t="s">
        <v>178</v>
      </c>
      <c r="C216" s="247"/>
      <c r="D216" s="248"/>
      <c r="E216" s="54">
        <f t="shared" si="55"/>
        <v>3.4461366220563798</v>
      </c>
      <c r="F216" s="58"/>
      <c r="G216" s="54">
        <v>3.4461366220563798</v>
      </c>
      <c r="H216" s="54">
        <f t="shared" si="56"/>
        <v>2.8196399999999997</v>
      </c>
      <c r="I216" s="58"/>
      <c r="J216" s="59">
        <v>2.8196399999999997</v>
      </c>
      <c r="K216" s="41"/>
      <c r="L216" s="41"/>
      <c r="M216" s="41"/>
      <c r="N216" s="41"/>
      <c r="O216" s="41"/>
      <c r="P216" s="41"/>
      <c r="Q216" s="41"/>
      <c r="R216" s="41"/>
      <c r="S216" s="41"/>
      <c r="T216" s="41"/>
    </row>
    <row r="217" spans="1:20" ht="28.5" customHeight="1" x14ac:dyDescent="0.25">
      <c r="A217" s="196"/>
      <c r="B217" s="243" t="s">
        <v>198</v>
      </c>
      <c r="C217" s="244"/>
      <c r="D217" s="245"/>
      <c r="E217" s="133">
        <f t="shared" si="55"/>
        <v>4.5115114299436199</v>
      </c>
      <c r="F217" s="172"/>
      <c r="G217" s="133">
        <v>4.5115114299436199</v>
      </c>
      <c r="H217" s="133">
        <f t="shared" si="56"/>
        <v>7.0650200000000005</v>
      </c>
      <c r="I217" s="136"/>
      <c r="J217" s="57">
        <v>7.0650200000000005</v>
      </c>
      <c r="K217" s="41"/>
      <c r="L217" s="41"/>
      <c r="M217" s="41"/>
      <c r="N217" s="41"/>
      <c r="O217" s="41"/>
      <c r="P217" s="41"/>
      <c r="Q217" s="41"/>
      <c r="R217" s="41"/>
      <c r="S217" s="41"/>
      <c r="T217" s="41"/>
    </row>
    <row r="218" spans="1:20" ht="28.5" customHeight="1" x14ac:dyDescent="0.25">
      <c r="A218" s="196"/>
      <c r="B218" s="246" t="s">
        <v>199</v>
      </c>
      <c r="C218" s="247"/>
      <c r="D218" s="248"/>
      <c r="E218" s="54">
        <f t="shared" si="55"/>
        <v>10.127352729312401</v>
      </c>
      <c r="F218" s="58"/>
      <c r="G218" s="54">
        <v>10.127352729312401</v>
      </c>
      <c r="H218" s="54">
        <f t="shared" si="56"/>
        <v>14.197479999999999</v>
      </c>
      <c r="I218" s="58"/>
      <c r="J218" s="59">
        <v>14.197479999999999</v>
      </c>
      <c r="K218" s="41"/>
      <c r="L218" s="41"/>
      <c r="M218" s="41"/>
      <c r="N218" s="41"/>
      <c r="O218" s="41"/>
      <c r="P218" s="41"/>
      <c r="Q218" s="41"/>
      <c r="R218" s="41"/>
      <c r="S218" s="41"/>
      <c r="T218" s="41"/>
    </row>
    <row r="219" spans="1:20" ht="27.75" customHeight="1" x14ac:dyDescent="0.25">
      <c r="A219" s="196"/>
      <c r="B219" s="246" t="s">
        <v>200</v>
      </c>
      <c r="C219" s="247"/>
      <c r="D219" s="248"/>
      <c r="E219" s="54">
        <f t="shared" si="55"/>
        <v>11.569344957320601</v>
      </c>
      <c r="F219" s="58"/>
      <c r="G219" s="54">
        <v>11.569344957320601</v>
      </c>
      <c r="H219" s="54">
        <f t="shared" si="56"/>
        <v>8.6048399999999994</v>
      </c>
      <c r="I219" s="58"/>
      <c r="J219" s="59">
        <v>8.6048399999999994</v>
      </c>
      <c r="K219" s="41"/>
      <c r="L219" s="41"/>
      <c r="M219" s="41"/>
      <c r="N219" s="41"/>
      <c r="O219" s="41"/>
      <c r="P219" s="41"/>
      <c r="Q219" s="41"/>
      <c r="R219" s="41"/>
      <c r="S219" s="41"/>
      <c r="T219" s="41"/>
    </row>
    <row r="220" spans="1:20" ht="27.75" customHeight="1" x14ac:dyDescent="0.25">
      <c r="A220" s="196"/>
      <c r="B220" s="243" t="s">
        <v>285</v>
      </c>
      <c r="C220" s="244"/>
      <c r="D220" s="245"/>
      <c r="E220" s="133">
        <f t="shared" si="55"/>
        <v>6.9074900000000001</v>
      </c>
      <c r="F220" s="172"/>
      <c r="G220" s="133">
        <f>6907.49/1000</f>
        <v>6.9074900000000001</v>
      </c>
      <c r="H220" s="133">
        <f>J220</f>
        <v>3.92964</v>
      </c>
      <c r="I220" s="136"/>
      <c r="J220" s="57">
        <v>3.92964</v>
      </c>
      <c r="K220" s="41"/>
      <c r="L220" s="41"/>
      <c r="M220" s="41"/>
      <c r="N220" s="41"/>
      <c r="O220" s="41"/>
      <c r="P220" s="41"/>
      <c r="Q220" s="41"/>
      <c r="R220" s="41"/>
      <c r="S220" s="41"/>
      <c r="T220" s="41"/>
    </row>
    <row r="221" spans="1:20" ht="27.75" customHeight="1" thickBot="1" x14ac:dyDescent="0.3">
      <c r="A221" s="196"/>
      <c r="B221" s="197" t="s">
        <v>286</v>
      </c>
      <c r="C221" s="198"/>
      <c r="D221" s="199"/>
      <c r="E221" s="133">
        <f>G221</f>
        <v>2.4845516238159697</v>
      </c>
      <c r="F221" s="172"/>
      <c r="G221" s="133">
        <v>2.4845516238159697</v>
      </c>
      <c r="H221" s="133"/>
      <c r="I221" s="136"/>
      <c r="J221" s="57"/>
      <c r="K221" s="41"/>
      <c r="L221" s="41"/>
      <c r="M221" s="41"/>
      <c r="N221" s="41"/>
      <c r="O221" s="41"/>
      <c r="P221" s="41"/>
      <c r="Q221" s="41"/>
      <c r="R221" s="41"/>
      <c r="S221" s="41"/>
      <c r="T221" s="41"/>
    </row>
    <row r="222" spans="1:20" ht="28.5" customHeight="1" x14ac:dyDescent="0.25">
      <c r="A222" s="175" t="s">
        <v>387</v>
      </c>
      <c r="B222" s="194" t="s">
        <v>228</v>
      </c>
      <c r="C222" s="194" t="s">
        <v>229</v>
      </c>
      <c r="D222" s="260">
        <f>127691.77/1000</f>
        <v>127.69177000000001</v>
      </c>
      <c r="E222" s="55">
        <f>G222</f>
        <v>33.171980000000005</v>
      </c>
      <c r="F222" s="12" t="s">
        <v>230</v>
      </c>
      <c r="G222" s="55">
        <f>33171.98/1000</f>
        <v>33.171980000000005</v>
      </c>
      <c r="H222" s="55">
        <f>J222</f>
        <v>94.519788000000005</v>
      </c>
      <c r="I222" s="12" t="s">
        <v>370</v>
      </c>
      <c r="J222" s="13">
        <f>78766.49*1.2/1000</f>
        <v>94.519788000000005</v>
      </c>
      <c r="K222" s="41"/>
      <c r="L222" s="41"/>
      <c r="M222" s="41"/>
      <c r="N222" s="41"/>
      <c r="O222" s="41"/>
      <c r="P222" s="41"/>
      <c r="Q222" s="41"/>
      <c r="R222" s="41"/>
      <c r="S222" s="41"/>
      <c r="T222" s="41"/>
    </row>
    <row r="223" spans="1:20" ht="28.5" customHeight="1" x14ac:dyDescent="0.25">
      <c r="A223" s="196"/>
      <c r="B223" s="195"/>
      <c r="C223" s="195"/>
      <c r="D223" s="203"/>
      <c r="E223" s="54">
        <f>G223</f>
        <v>94.51979</v>
      </c>
      <c r="F223" s="58" t="s">
        <v>231</v>
      </c>
      <c r="G223" s="54">
        <f>94519.79/1000</f>
        <v>94.51979</v>
      </c>
      <c r="H223" s="54"/>
      <c r="I223" s="58"/>
      <c r="J223" s="59"/>
      <c r="K223" s="41"/>
      <c r="L223" s="41"/>
      <c r="M223" s="41"/>
      <c r="N223" s="41"/>
      <c r="O223" s="41"/>
      <c r="P223" s="41"/>
      <c r="Q223" s="41"/>
      <c r="R223" s="41"/>
      <c r="S223" s="41"/>
      <c r="T223" s="41"/>
    </row>
    <row r="224" spans="1:20" ht="28.5" customHeight="1" x14ac:dyDescent="0.25">
      <c r="A224" s="196"/>
      <c r="B224" s="204" t="s">
        <v>298</v>
      </c>
      <c r="C224" s="204" t="s">
        <v>299</v>
      </c>
      <c r="D224" s="202">
        <v>623.70000000000005</v>
      </c>
      <c r="E224" s="54"/>
      <c r="F224" s="58"/>
      <c r="G224" s="54"/>
      <c r="H224" s="54">
        <f>J224</f>
        <v>26.799849999999999</v>
      </c>
      <c r="I224" s="58" t="s">
        <v>378</v>
      </c>
      <c r="J224" s="59">
        <f>26799.85/1000</f>
        <v>26.799849999999999</v>
      </c>
      <c r="K224" s="41"/>
      <c r="L224" s="41"/>
      <c r="M224" s="41"/>
      <c r="N224" s="41"/>
      <c r="O224" s="41"/>
      <c r="P224" s="41"/>
      <c r="Q224" s="41"/>
      <c r="R224" s="41"/>
      <c r="S224" s="41"/>
      <c r="T224" s="41"/>
    </row>
    <row r="225" spans="1:20" ht="28.5" customHeight="1" x14ac:dyDescent="0.25">
      <c r="A225" s="196"/>
      <c r="B225" s="195"/>
      <c r="C225" s="195"/>
      <c r="D225" s="203"/>
      <c r="E225" s="54"/>
      <c r="F225" s="58"/>
      <c r="G225" s="54"/>
      <c r="H225" s="54">
        <f>J225</f>
        <v>6.4025499999999997</v>
      </c>
      <c r="I225" s="58" t="s">
        <v>359</v>
      </c>
      <c r="J225" s="59">
        <f>6402.55/1000</f>
        <v>6.4025499999999997</v>
      </c>
      <c r="K225" s="41"/>
      <c r="L225" s="41"/>
      <c r="M225" s="41"/>
      <c r="N225" s="41"/>
      <c r="O225" s="41"/>
      <c r="P225" s="41"/>
      <c r="Q225" s="41"/>
      <c r="R225" s="41"/>
      <c r="S225" s="41"/>
      <c r="T225" s="41"/>
    </row>
    <row r="226" spans="1:20" ht="52.5" customHeight="1" x14ac:dyDescent="0.25">
      <c r="A226" s="196"/>
      <c r="B226" s="249" t="s">
        <v>318</v>
      </c>
      <c r="C226" s="250" t="s">
        <v>319</v>
      </c>
      <c r="D226" s="251">
        <v>9559.4439999999995</v>
      </c>
      <c r="E226" s="54">
        <f>G226</f>
        <v>2000</v>
      </c>
      <c r="F226" s="58" t="s">
        <v>320</v>
      </c>
      <c r="G226" s="54">
        <v>2000</v>
      </c>
      <c r="H226" s="54">
        <f>J226</f>
        <v>1205.3495999999998</v>
      </c>
      <c r="I226" s="58" t="s">
        <v>360</v>
      </c>
      <c r="J226" s="59">
        <f>1004458*1.2/1000</f>
        <v>1205.3495999999998</v>
      </c>
      <c r="K226" s="41"/>
      <c r="L226" s="41"/>
      <c r="M226" s="41"/>
      <c r="N226" s="41"/>
      <c r="O226" s="41"/>
      <c r="P226" s="41"/>
      <c r="Q226" s="41"/>
      <c r="R226" s="41"/>
      <c r="S226" s="41"/>
      <c r="T226" s="41"/>
    </row>
    <row r="227" spans="1:20" ht="52.5" customHeight="1" x14ac:dyDescent="0.25">
      <c r="A227" s="196"/>
      <c r="B227" s="243"/>
      <c r="C227" s="250"/>
      <c r="D227" s="252"/>
      <c r="E227" s="130">
        <f>G227</f>
        <v>1000</v>
      </c>
      <c r="F227" s="135" t="s">
        <v>344</v>
      </c>
      <c r="G227" s="130">
        <f>1000000/1000</f>
        <v>1000</v>
      </c>
      <c r="H227" s="130">
        <f>J227</f>
        <v>588.61320000000001</v>
      </c>
      <c r="I227" s="135" t="s">
        <v>351</v>
      </c>
      <c r="J227" s="109">
        <f>490511*1.2/1000</f>
        <v>588.61320000000001</v>
      </c>
      <c r="K227" s="41"/>
      <c r="L227" s="106"/>
      <c r="M227" s="41"/>
      <c r="N227" s="41"/>
      <c r="O227" s="41"/>
      <c r="P227" s="41"/>
      <c r="Q227" s="41"/>
      <c r="R227" s="41"/>
      <c r="S227" s="41"/>
      <c r="T227" s="41"/>
    </row>
    <row r="228" spans="1:20" ht="28.5" customHeight="1" x14ac:dyDescent="0.25">
      <c r="A228" s="196"/>
      <c r="B228" s="246" t="s">
        <v>199</v>
      </c>
      <c r="C228" s="247"/>
      <c r="D228" s="248"/>
      <c r="E228" s="54">
        <f t="shared" ref="E228:E229" si="57">G228</f>
        <v>101.757799300999</v>
      </c>
      <c r="F228" s="58"/>
      <c r="G228" s="54">
        <v>101.757799300999</v>
      </c>
      <c r="H228" s="54">
        <f t="shared" ref="H228:H229" si="58">J228</f>
        <v>258.76445999999999</v>
      </c>
      <c r="I228" s="58"/>
      <c r="J228" s="59">
        <v>258.76445999999999</v>
      </c>
      <c r="K228" s="41"/>
      <c r="L228" s="41"/>
      <c r="M228" s="41"/>
      <c r="N228" s="41"/>
      <c r="O228" s="41"/>
      <c r="P228" s="41"/>
      <c r="Q228" s="41"/>
      <c r="R228" s="41"/>
      <c r="S228" s="41"/>
      <c r="T228" s="41"/>
    </row>
    <row r="229" spans="1:20" ht="31.5" customHeight="1" x14ac:dyDescent="0.25">
      <c r="A229" s="196"/>
      <c r="B229" s="246" t="s">
        <v>200</v>
      </c>
      <c r="C229" s="247"/>
      <c r="D229" s="248"/>
      <c r="E229" s="54">
        <f t="shared" si="57"/>
        <v>249.55187799999999</v>
      </c>
      <c r="F229" s="58"/>
      <c r="G229" s="54">
        <v>249.55187799999999</v>
      </c>
      <c r="H229" s="54">
        <f t="shared" si="58"/>
        <v>251.90815000000001</v>
      </c>
      <c r="I229" s="58"/>
      <c r="J229" s="59">
        <v>251.90815000000001</v>
      </c>
      <c r="K229" s="41"/>
      <c r="L229" s="41"/>
      <c r="M229" s="41"/>
      <c r="N229" s="41"/>
      <c r="O229" s="41"/>
      <c r="P229" s="41"/>
      <c r="Q229" s="41"/>
      <c r="R229" s="41"/>
      <c r="S229" s="41"/>
      <c r="T229" s="41"/>
    </row>
    <row r="230" spans="1:20" ht="31.5" customHeight="1" x14ac:dyDescent="0.25">
      <c r="A230" s="196"/>
      <c r="B230" s="243" t="s">
        <v>285</v>
      </c>
      <c r="C230" s="244"/>
      <c r="D230" s="245"/>
      <c r="E230" s="133">
        <f>G230</f>
        <v>277.15606000000002</v>
      </c>
      <c r="F230" s="136"/>
      <c r="G230" s="133">
        <v>277.15606000000002</v>
      </c>
      <c r="H230" s="133">
        <f>J230</f>
        <v>316.79005999999998</v>
      </c>
      <c r="I230" s="136"/>
      <c r="J230" s="57">
        <f>316790.06/1000</f>
        <v>316.79005999999998</v>
      </c>
      <c r="K230" s="41"/>
      <c r="L230" s="41"/>
      <c r="M230" s="41"/>
      <c r="N230" s="41"/>
      <c r="O230" s="41"/>
      <c r="P230" s="41"/>
      <c r="Q230" s="41"/>
      <c r="R230" s="41"/>
      <c r="S230" s="41"/>
      <c r="T230" s="41"/>
    </row>
    <row r="231" spans="1:20" ht="31.5" customHeight="1" x14ac:dyDescent="0.25">
      <c r="A231" s="196"/>
      <c r="B231" s="243" t="s">
        <v>286</v>
      </c>
      <c r="C231" s="244"/>
      <c r="D231" s="245"/>
      <c r="E231" s="133">
        <f>G231</f>
        <v>334.22309000000001</v>
      </c>
      <c r="F231" s="136"/>
      <c r="G231" s="133">
        <f>334.22309</f>
        <v>334.22309000000001</v>
      </c>
      <c r="H231" s="133">
        <f>J231</f>
        <v>348.29647</v>
      </c>
      <c r="I231" s="136"/>
      <c r="J231" s="57">
        <v>348.29647</v>
      </c>
      <c r="K231" s="41"/>
      <c r="L231" s="41"/>
      <c r="M231" s="41"/>
      <c r="N231" s="41"/>
      <c r="O231" s="41"/>
      <c r="P231" s="41"/>
      <c r="Q231" s="41"/>
      <c r="R231" s="41"/>
      <c r="S231" s="41"/>
      <c r="T231" s="41"/>
    </row>
    <row r="232" spans="1:20" ht="31.5" customHeight="1" thickBot="1" x14ac:dyDescent="0.3">
      <c r="A232" s="176"/>
      <c r="B232" s="197" t="s">
        <v>324</v>
      </c>
      <c r="C232" s="198"/>
      <c r="D232" s="199"/>
      <c r="E232" s="158">
        <f>G232</f>
        <v>357.925952</v>
      </c>
      <c r="F232" s="86"/>
      <c r="G232" s="158">
        <f>357925.952/1000</f>
        <v>357.925952</v>
      </c>
      <c r="H232" s="158">
        <f>J232</f>
        <v>408.49421999999998</v>
      </c>
      <c r="I232" s="86"/>
      <c r="J232" s="160">
        <f>408494.22/1000</f>
        <v>408.49421999999998</v>
      </c>
      <c r="K232" s="41"/>
      <c r="L232" s="41"/>
      <c r="M232" s="41"/>
      <c r="N232" s="41"/>
      <c r="O232" s="41"/>
      <c r="P232" s="41"/>
      <c r="Q232" s="41"/>
      <c r="R232" s="41"/>
      <c r="S232" s="41"/>
      <c r="T232" s="41"/>
    </row>
    <row r="233" spans="1:20" ht="15.75" thickBot="1" x14ac:dyDescent="0.3">
      <c r="A233" s="63" t="s">
        <v>19</v>
      </c>
      <c r="B233" s="240"/>
      <c r="C233" s="241"/>
      <c r="D233" s="242"/>
      <c r="E233" s="36">
        <f>SUM(E69:E232)</f>
        <v>159471.35671164046</v>
      </c>
      <c r="F233" s="36"/>
      <c r="G233" s="36">
        <f>SUM(G69:G232)</f>
        <v>159471.35671164046</v>
      </c>
      <c r="H233" s="36">
        <f>SUM(H69:H232)</f>
        <v>186503.50134799996</v>
      </c>
      <c r="I233" s="36"/>
      <c r="J233" s="97">
        <f>SUM(J69:J232)</f>
        <v>186503.50134799996</v>
      </c>
      <c r="K233" s="41"/>
      <c r="L233" s="41"/>
      <c r="M233" s="41"/>
      <c r="N233" s="41"/>
      <c r="O233" s="41"/>
      <c r="P233" s="41"/>
      <c r="Q233" s="41"/>
      <c r="R233" s="41"/>
      <c r="S233" s="41"/>
      <c r="T233" s="41"/>
    </row>
    <row r="234" spans="1:20" ht="28.5" customHeight="1" thickBot="1" x14ac:dyDescent="0.3">
      <c r="A234" s="17" t="s">
        <v>83</v>
      </c>
      <c r="B234" s="253"/>
      <c r="C234" s="254"/>
      <c r="D234" s="255"/>
      <c r="E234" s="33">
        <f>E67+E233</f>
        <v>164534.66178805594</v>
      </c>
      <c r="F234" s="33"/>
      <c r="G234" s="33">
        <f>G67+G233</f>
        <v>164534.66178805594</v>
      </c>
      <c r="H234" s="33">
        <f>H67+H233</f>
        <v>194814.11046799997</v>
      </c>
      <c r="I234" s="30"/>
      <c r="J234" s="34">
        <f>J67+J233</f>
        <v>194814.11046799997</v>
      </c>
      <c r="K234" s="41"/>
      <c r="L234" s="41"/>
      <c r="M234" s="41"/>
      <c r="N234" s="41"/>
      <c r="O234" s="41"/>
      <c r="P234" s="41"/>
      <c r="Q234" s="41"/>
      <c r="R234" s="41"/>
      <c r="S234" s="41"/>
      <c r="T234" s="41"/>
    </row>
    <row r="235" spans="1:20" ht="18" customHeight="1" x14ac:dyDescent="0.2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106"/>
      <c r="M235" s="41"/>
    </row>
    <row r="236" spans="1:20" ht="15.75" x14ac:dyDescent="0.25">
      <c r="A236" s="115" t="s">
        <v>281</v>
      </c>
      <c r="B236" s="116"/>
      <c r="C236" s="116"/>
      <c r="D236" s="44"/>
      <c r="E236" s="48"/>
      <c r="F236" s="42"/>
      <c r="G236" s="106"/>
      <c r="H236" s="42"/>
      <c r="I236" s="42"/>
      <c r="J236" s="101"/>
      <c r="K236" s="42"/>
      <c r="L236" s="101"/>
      <c r="M236" s="42"/>
      <c r="N236" s="107"/>
      <c r="P236" s="107"/>
    </row>
    <row r="237" spans="1:20" ht="15.75" x14ac:dyDescent="0.25">
      <c r="A237" s="117" t="s">
        <v>23</v>
      </c>
      <c r="B237" s="118"/>
      <c r="C237" s="118"/>
      <c r="D237" s="44"/>
      <c r="E237" s="44"/>
      <c r="F237" s="42"/>
      <c r="G237" s="106"/>
      <c r="H237" s="42"/>
      <c r="I237" s="42"/>
      <c r="J237" s="101"/>
      <c r="K237" s="42"/>
      <c r="L237" s="101"/>
      <c r="M237" s="42"/>
      <c r="N237" s="107"/>
      <c r="P237" s="107"/>
    </row>
    <row r="238" spans="1:20" ht="31.5" customHeight="1" x14ac:dyDescent="0.25">
      <c r="A238" s="191" t="s">
        <v>155</v>
      </c>
      <c r="B238" s="191"/>
      <c r="C238" s="191"/>
      <c r="D238" s="44"/>
      <c r="E238" s="44"/>
      <c r="F238" s="42"/>
      <c r="G238" s="106"/>
      <c r="H238" s="42"/>
      <c r="I238" s="42"/>
      <c r="J238" s="101"/>
      <c r="K238" s="42"/>
      <c r="L238" s="101"/>
      <c r="M238" s="42"/>
    </row>
    <row r="239" spans="1:20" ht="15.75" thickBot="1" x14ac:dyDescent="0.3">
      <c r="A239" s="118"/>
      <c r="B239" s="118"/>
      <c r="C239" s="118"/>
      <c r="D239" s="19"/>
      <c r="E239" s="19"/>
      <c r="F239" s="42"/>
      <c r="G239" s="41"/>
      <c r="H239" s="42"/>
      <c r="I239" s="42"/>
      <c r="J239" s="42"/>
      <c r="K239" s="42"/>
      <c r="L239" s="42"/>
      <c r="M239" s="42"/>
    </row>
    <row r="240" spans="1:20" ht="32.25" customHeight="1" thickBot="1" x14ac:dyDescent="0.3">
      <c r="A240" s="149" t="s">
        <v>24</v>
      </c>
      <c r="B240" s="150" t="s">
        <v>25</v>
      </c>
      <c r="C240" s="150" t="s">
        <v>26</v>
      </c>
      <c r="D240" s="119"/>
      <c r="E240" s="43"/>
      <c r="F240" s="42"/>
      <c r="G240" s="106"/>
      <c r="H240" s="42"/>
      <c r="I240" s="42"/>
      <c r="J240" s="101"/>
      <c r="K240" s="42"/>
      <c r="L240" s="42"/>
      <c r="M240" s="42"/>
    </row>
    <row r="241" spans="1:13" ht="16.5" thickBot="1" x14ac:dyDescent="0.3">
      <c r="A241" s="151"/>
      <c r="B241" s="152"/>
      <c r="C241" s="152"/>
      <c r="D241" s="119"/>
      <c r="E241" s="11"/>
      <c r="F241" s="11"/>
      <c r="G241" s="41"/>
      <c r="H241" s="41"/>
      <c r="I241" s="41"/>
      <c r="J241" s="41"/>
      <c r="K241" s="41"/>
      <c r="L241" s="41"/>
      <c r="M241" s="41"/>
    </row>
    <row r="242" spans="1:13" ht="30.75" thickBot="1" x14ac:dyDescent="0.3">
      <c r="A242" s="52" t="s">
        <v>59</v>
      </c>
      <c r="B242" s="93">
        <v>194814.11</v>
      </c>
      <c r="C242" s="93">
        <v>164534.66</v>
      </c>
      <c r="D242" s="120"/>
      <c r="E242" s="41"/>
      <c r="F242" s="41"/>
      <c r="G242" s="106"/>
      <c r="H242" s="41"/>
      <c r="I242" s="41"/>
      <c r="J242" s="106"/>
      <c r="K242" s="41"/>
      <c r="L242" s="41"/>
      <c r="M242" s="41"/>
    </row>
    <row r="243" spans="1:13" ht="15.75" thickBot="1" x14ac:dyDescent="0.3">
      <c r="A243" s="52" t="s">
        <v>27</v>
      </c>
      <c r="B243" s="93">
        <v>129622.81</v>
      </c>
      <c r="C243" s="93">
        <v>129622.81</v>
      </c>
      <c r="D243" s="121"/>
      <c r="E243" s="41"/>
      <c r="F243" s="41"/>
      <c r="G243" s="41"/>
      <c r="H243" s="41"/>
      <c r="I243" s="41"/>
      <c r="J243" s="41"/>
      <c r="K243" s="41"/>
      <c r="L243" s="41"/>
      <c r="M243" s="41"/>
    </row>
    <row r="244" spans="1:13" ht="15.75" thickBot="1" x14ac:dyDescent="0.3">
      <c r="A244" s="52" t="s">
        <v>60</v>
      </c>
      <c r="B244" s="94">
        <v>0</v>
      </c>
      <c r="C244" s="94">
        <v>0</v>
      </c>
      <c r="D244" s="121"/>
      <c r="E244" s="41"/>
      <c r="F244" s="41"/>
      <c r="G244" s="106"/>
      <c r="H244" s="41"/>
      <c r="I244" s="41"/>
      <c r="J244" s="106"/>
      <c r="K244" s="41"/>
      <c r="L244" s="41"/>
      <c r="M244" s="41"/>
    </row>
    <row r="245" spans="1:13" ht="30.75" thickBot="1" x14ac:dyDescent="0.3">
      <c r="A245" s="52" t="s">
        <v>61</v>
      </c>
      <c r="B245" s="94">
        <v>0</v>
      </c>
      <c r="C245" s="94">
        <v>0</v>
      </c>
      <c r="D245" s="121"/>
      <c r="E245" s="41"/>
      <c r="F245" s="41"/>
      <c r="G245" s="41"/>
      <c r="H245" s="41"/>
      <c r="I245" s="41"/>
      <c r="J245" s="106"/>
      <c r="K245" s="41"/>
      <c r="L245" s="41"/>
      <c r="M245" s="41"/>
    </row>
    <row r="246" spans="1:13" ht="15.75" thickBot="1" x14ac:dyDescent="0.3">
      <c r="A246" s="52" t="s">
        <v>28</v>
      </c>
      <c r="B246" s="93">
        <v>2139.75</v>
      </c>
      <c r="C246" s="93">
        <v>2515.0700000000002</v>
      </c>
      <c r="D246" s="121"/>
      <c r="E246" s="41"/>
      <c r="F246" s="41"/>
      <c r="G246" s="106"/>
      <c r="H246" s="41"/>
      <c r="I246" s="41"/>
      <c r="J246" s="106"/>
      <c r="K246" s="41"/>
      <c r="L246" s="41"/>
      <c r="M246" s="41"/>
    </row>
    <row r="247" spans="1:13" ht="15.75" thickBot="1" x14ac:dyDescent="0.3">
      <c r="A247" s="53" t="s">
        <v>29</v>
      </c>
      <c r="B247" s="94">
        <v>569.29</v>
      </c>
      <c r="C247" s="95">
        <v>1178.9100000000001</v>
      </c>
      <c r="D247" s="122"/>
      <c r="E247" s="41"/>
      <c r="F247" s="41"/>
      <c r="G247" s="41"/>
      <c r="H247" s="41"/>
      <c r="I247" s="41"/>
      <c r="J247" s="41"/>
      <c r="K247" s="41"/>
      <c r="L247" s="41"/>
      <c r="M247" s="41"/>
    </row>
    <row r="248" spans="1:13" ht="15.75" thickBot="1" x14ac:dyDescent="0.3">
      <c r="A248" s="53" t="s">
        <v>30</v>
      </c>
      <c r="B248" s="94" t="s">
        <v>382</v>
      </c>
      <c r="C248" s="95">
        <v>1336.16</v>
      </c>
      <c r="D248" s="122"/>
      <c r="E248" s="41"/>
      <c r="F248" s="41"/>
      <c r="G248" s="41"/>
      <c r="H248" s="41"/>
      <c r="I248" s="41"/>
      <c r="J248" s="41"/>
      <c r="K248" s="41"/>
      <c r="L248" s="41"/>
      <c r="M248" s="41"/>
    </row>
    <row r="249" spans="1:13" ht="30" x14ac:dyDescent="0.25">
      <c r="A249" s="154" t="s">
        <v>66</v>
      </c>
      <c r="B249" s="238">
        <v>31997.65</v>
      </c>
      <c r="C249" s="238">
        <v>31432.23</v>
      </c>
      <c r="D249" s="122"/>
      <c r="E249" s="41"/>
      <c r="F249" s="41"/>
      <c r="G249" s="41"/>
      <c r="H249" s="41"/>
      <c r="I249" s="41"/>
      <c r="J249" s="41"/>
      <c r="K249" s="41"/>
      <c r="L249" s="41"/>
      <c r="M249" s="41"/>
    </row>
    <row r="250" spans="1:13" ht="60.75" thickBot="1" x14ac:dyDescent="0.3">
      <c r="A250" s="52" t="s">
        <v>156</v>
      </c>
      <c r="B250" s="239"/>
      <c r="C250" s="239"/>
      <c r="D250" s="120"/>
      <c r="E250" s="41"/>
      <c r="F250" s="41"/>
      <c r="G250" s="41"/>
      <c r="H250" s="41"/>
      <c r="I250" s="41"/>
      <c r="J250" s="41"/>
      <c r="K250" s="41"/>
      <c r="L250" s="41"/>
      <c r="M250" s="41"/>
    </row>
    <row r="251" spans="1:13" ht="27.75" customHeight="1" thickBot="1" x14ac:dyDescent="0.3">
      <c r="A251" s="52" t="s">
        <v>68</v>
      </c>
      <c r="B251" s="94">
        <v>0</v>
      </c>
      <c r="C251" s="94">
        <v>0</v>
      </c>
      <c r="D251" s="120"/>
      <c r="E251" s="41"/>
      <c r="F251" s="41"/>
      <c r="G251" s="41"/>
      <c r="H251" s="41"/>
      <c r="I251" s="41"/>
      <c r="J251" s="41"/>
      <c r="K251" s="41"/>
      <c r="L251" s="41"/>
      <c r="M251" s="41"/>
    </row>
    <row r="252" spans="1:13" ht="30.75" thickBot="1" x14ac:dyDescent="0.3">
      <c r="A252" s="52" t="s">
        <v>31</v>
      </c>
      <c r="B252" s="93">
        <v>-29639.64</v>
      </c>
      <c r="C252" s="93">
        <v>-16136.63</v>
      </c>
      <c r="D252" s="121"/>
      <c r="E252" s="41"/>
      <c r="F252" s="41"/>
      <c r="G252" s="41"/>
      <c r="H252" s="41"/>
      <c r="I252" s="41"/>
      <c r="J252" s="41"/>
      <c r="K252" s="41"/>
      <c r="L252" s="41"/>
      <c r="M252" s="41"/>
    </row>
    <row r="253" spans="1:13" ht="30.75" thickBot="1" x14ac:dyDescent="0.3">
      <c r="A253" s="53" t="s">
        <v>32</v>
      </c>
      <c r="B253" s="95">
        <v>32321.39</v>
      </c>
      <c r="C253" s="95">
        <v>18818.38</v>
      </c>
      <c r="D253" s="102"/>
      <c r="E253" s="41"/>
      <c r="F253" s="41"/>
      <c r="G253" s="41"/>
      <c r="H253" s="41"/>
      <c r="I253" s="41"/>
      <c r="J253" s="41"/>
      <c r="K253" s="41"/>
      <c r="L253" s="41"/>
      <c r="M253" s="41"/>
    </row>
    <row r="254" spans="1:13" ht="15.75" thickBot="1" x14ac:dyDescent="0.3">
      <c r="A254" s="53" t="s">
        <v>33</v>
      </c>
      <c r="B254" s="95">
        <v>2681.74</v>
      </c>
      <c r="C254" s="95">
        <v>2681.74</v>
      </c>
      <c r="D254" s="103"/>
    </row>
    <row r="255" spans="1:13" x14ac:dyDescent="0.25">
      <c r="A255" s="174"/>
      <c r="D255" s="122"/>
      <c r="E255" s="41"/>
      <c r="F255" s="41"/>
      <c r="G255" s="41"/>
      <c r="H255" s="41"/>
      <c r="I255" s="106"/>
    </row>
    <row r="256" spans="1:13" ht="27.75" customHeight="1" x14ac:dyDescent="0.25">
      <c r="A256" s="96"/>
      <c r="D256" s="41"/>
      <c r="E256" s="41"/>
      <c r="F256" s="41"/>
      <c r="G256" s="41"/>
      <c r="H256" s="41"/>
      <c r="I256" s="41"/>
    </row>
    <row r="257" spans="1:6" ht="14.25" customHeight="1" x14ac:dyDescent="0.25"/>
    <row r="258" spans="1:6" x14ac:dyDescent="0.25">
      <c r="A258" s="46" t="s">
        <v>34</v>
      </c>
      <c r="B258" s="44"/>
      <c r="C258" s="44"/>
      <c r="D258" s="44"/>
      <c r="E258" s="48" t="s">
        <v>47</v>
      </c>
      <c r="F258" s="42"/>
    </row>
    <row r="259" spans="1:6" x14ac:dyDescent="0.25">
      <c r="A259" s="46"/>
      <c r="B259" s="47"/>
      <c r="C259" s="47"/>
      <c r="D259" s="44"/>
      <c r="E259" s="44"/>
      <c r="F259" s="42"/>
    </row>
    <row r="260" spans="1:6" ht="6.75" customHeight="1" x14ac:dyDescent="0.25">
      <c r="A260" s="46"/>
      <c r="B260" s="47"/>
      <c r="C260" s="47"/>
      <c r="D260" s="44"/>
      <c r="E260" s="44"/>
      <c r="F260" s="42"/>
    </row>
    <row r="261" spans="1:6" x14ac:dyDescent="0.25">
      <c r="A261" s="20"/>
      <c r="B261" s="43"/>
      <c r="C261" s="43"/>
      <c r="D261" s="19"/>
      <c r="E261" s="19"/>
      <c r="F261" s="42"/>
    </row>
    <row r="262" spans="1:6" x14ac:dyDescent="0.25">
      <c r="A262" s="20" t="s">
        <v>277</v>
      </c>
      <c r="B262" s="43"/>
      <c r="C262" s="43"/>
      <c r="D262" s="19"/>
      <c r="E262" s="43" t="s">
        <v>35</v>
      </c>
      <c r="F262" s="42"/>
    </row>
    <row r="263" spans="1:6" x14ac:dyDescent="0.25">
      <c r="A263" s="11"/>
      <c r="B263" s="11"/>
      <c r="C263" s="11"/>
      <c r="D263" s="11"/>
      <c r="E263" s="11"/>
      <c r="F263" s="11"/>
    </row>
    <row r="264" spans="1:6" x14ac:dyDescent="0.25">
      <c r="A264" s="11"/>
      <c r="B264" s="11"/>
      <c r="C264" s="11"/>
      <c r="D264" s="11"/>
      <c r="E264" s="11"/>
      <c r="F264" s="11"/>
    </row>
  </sheetData>
  <mergeCells count="221">
    <mergeCell ref="I102:I103"/>
    <mergeCell ref="H102:H103"/>
    <mergeCell ref="I81:I82"/>
    <mergeCell ref="H81:H82"/>
    <mergeCell ref="I111:I114"/>
    <mergeCell ref="H111:H114"/>
    <mergeCell ref="B209:D209"/>
    <mergeCell ref="B124:D124"/>
    <mergeCell ref="B146:D146"/>
    <mergeCell ref="C81:C84"/>
    <mergeCell ref="B99:B100"/>
    <mergeCell ref="B102:B105"/>
    <mergeCell ref="C102:C105"/>
    <mergeCell ref="D102:D105"/>
    <mergeCell ref="B111:B114"/>
    <mergeCell ref="C111:C114"/>
    <mergeCell ref="D111:D114"/>
    <mergeCell ref="C99:C100"/>
    <mergeCell ref="D99:D100"/>
    <mergeCell ref="B153:D153"/>
    <mergeCell ref="B143:D143"/>
    <mergeCell ref="A111:A114"/>
    <mergeCell ref="A222:A232"/>
    <mergeCell ref="B211:D211"/>
    <mergeCell ref="B232:D232"/>
    <mergeCell ref="B150:D150"/>
    <mergeCell ref="B139:D139"/>
    <mergeCell ref="B123:D123"/>
    <mergeCell ref="A115:A124"/>
    <mergeCell ref="B137:D137"/>
    <mergeCell ref="B138:D138"/>
    <mergeCell ref="B148:D148"/>
    <mergeCell ref="B149:D149"/>
    <mergeCell ref="B195:D195"/>
    <mergeCell ref="B201:D201"/>
    <mergeCell ref="C126:C129"/>
    <mergeCell ref="D126:D129"/>
    <mergeCell ref="B203:D203"/>
    <mergeCell ref="B204:D204"/>
    <mergeCell ref="B205:D205"/>
    <mergeCell ref="A140:A150"/>
    <mergeCell ref="A125:A139"/>
    <mergeCell ref="B200:D200"/>
    <mergeCell ref="B126:B129"/>
    <mergeCell ref="A151:A211"/>
    <mergeCell ref="A90:A110"/>
    <mergeCell ref="B109:D109"/>
    <mergeCell ref="B110:D110"/>
    <mergeCell ref="A37:A46"/>
    <mergeCell ref="B45:D45"/>
    <mergeCell ref="B46:D46"/>
    <mergeCell ref="A47:A66"/>
    <mergeCell ref="B65:D65"/>
    <mergeCell ref="B66:D66"/>
    <mergeCell ref="A69:A89"/>
    <mergeCell ref="B88:D88"/>
    <mergeCell ref="B89:D89"/>
    <mergeCell ref="B62:D62"/>
    <mergeCell ref="B86:D86"/>
    <mergeCell ref="B71:D71"/>
    <mergeCell ref="D81:D84"/>
    <mergeCell ref="B92:D92"/>
    <mergeCell ref="B52:B55"/>
    <mergeCell ref="C52:C55"/>
    <mergeCell ref="B107:D107"/>
    <mergeCell ref="B81:B84"/>
    <mergeCell ref="H52:H53"/>
    <mergeCell ref="I52:I53"/>
    <mergeCell ref="B192:D192"/>
    <mergeCell ref="B154:B180"/>
    <mergeCell ref="C154:C180"/>
    <mergeCell ref="D154:D180"/>
    <mergeCell ref="C181:C185"/>
    <mergeCell ref="D181:D185"/>
    <mergeCell ref="H54:H55"/>
    <mergeCell ref="I54:I55"/>
    <mergeCell ref="D186:D191"/>
    <mergeCell ref="C186:C191"/>
    <mergeCell ref="B186:B191"/>
    <mergeCell ref="H57:H61"/>
    <mergeCell ref="I57:I61"/>
    <mergeCell ref="B56:B61"/>
    <mergeCell ref="C56:C61"/>
    <mergeCell ref="D56:D61"/>
    <mergeCell ref="B181:B185"/>
    <mergeCell ref="B85:D85"/>
    <mergeCell ref="B122:D122"/>
    <mergeCell ref="B67:D67"/>
    <mergeCell ref="B145:D145"/>
    <mergeCell ref="A68:J68"/>
    <mergeCell ref="A8:J8"/>
    <mergeCell ref="B9:D9"/>
    <mergeCell ref="B10:D10"/>
    <mergeCell ref="A15:A28"/>
    <mergeCell ref="A9:A14"/>
    <mergeCell ref="A29:A36"/>
    <mergeCell ref="B147:D147"/>
    <mergeCell ref="B206:D206"/>
    <mergeCell ref="B19:D19"/>
    <mergeCell ref="B30:D30"/>
    <mergeCell ref="B18:D18"/>
    <mergeCell ref="B11:D11"/>
    <mergeCell ref="B12:D12"/>
    <mergeCell ref="B13:D13"/>
    <mergeCell ref="B20:D20"/>
    <mergeCell ref="B21:D21"/>
    <mergeCell ref="B22:D22"/>
    <mergeCell ref="B14:D14"/>
    <mergeCell ref="B23:D23"/>
    <mergeCell ref="B24:D24"/>
    <mergeCell ref="B25:D25"/>
    <mergeCell ref="B29:D29"/>
    <mergeCell ref="B26:D26"/>
    <mergeCell ref="D52:D55"/>
    <mergeCell ref="B31:D31"/>
    <mergeCell ref="B32:D32"/>
    <mergeCell ref="B36:D36"/>
    <mergeCell ref="B76:B77"/>
    <mergeCell ref="B42:D42"/>
    <mergeCell ref="B197:D197"/>
    <mergeCell ref="B202:D202"/>
    <mergeCell ref="B87:D87"/>
    <mergeCell ref="C76:C77"/>
    <mergeCell ref="D76:D77"/>
    <mergeCell ref="B96:D96"/>
    <mergeCell ref="B130:D130"/>
    <mergeCell ref="B33:D33"/>
    <mergeCell ref="B48:D48"/>
    <mergeCell ref="B37:D37"/>
    <mergeCell ref="B47:D47"/>
    <mergeCell ref="B39:D39"/>
    <mergeCell ref="B40:D40"/>
    <mergeCell ref="B70:D70"/>
    <mergeCell ref="B106:D106"/>
    <mergeCell ref="B69:D69"/>
    <mergeCell ref="B63:D63"/>
    <mergeCell ref="B64:D64"/>
    <mergeCell ref="B144:D144"/>
    <mergeCell ref="A2:J2"/>
    <mergeCell ref="A3:J3"/>
    <mergeCell ref="A4:J4"/>
    <mergeCell ref="A6:A7"/>
    <mergeCell ref="B6:C6"/>
    <mergeCell ref="D6:D7"/>
    <mergeCell ref="E6:E7"/>
    <mergeCell ref="F6:G6"/>
    <mergeCell ref="H6:H7"/>
    <mergeCell ref="I6:J6"/>
    <mergeCell ref="B27:D27"/>
    <mergeCell ref="B28:D28"/>
    <mergeCell ref="B17:D17"/>
    <mergeCell ref="B229:D229"/>
    <mergeCell ref="B90:D90"/>
    <mergeCell ref="B142:D142"/>
    <mergeCell ref="A238:C238"/>
    <mergeCell ref="B49:D49"/>
    <mergeCell ref="B50:D50"/>
    <mergeCell ref="B51:D51"/>
    <mergeCell ref="B73:D73"/>
    <mergeCell ref="B74:D74"/>
    <mergeCell ref="B116:D116"/>
    <mergeCell ref="B117:D117"/>
    <mergeCell ref="B118:D118"/>
    <mergeCell ref="B131:D131"/>
    <mergeCell ref="B132:D132"/>
    <mergeCell ref="B141:D141"/>
    <mergeCell ref="B152:D152"/>
    <mergeCell ref="B115:D115"/>
    <mergeCell ref="B133:D133"/>
    <mergeCell ref="B75:D75"/>
    <mergeCell ref="B94:D94"/>
    <mergeCell ref="B95:D95"/>
    <mergeCell ref="B208:D208"/>
    <mergeCell ref="B108:D108"/>
    <mergeCell ref="B119:D119"/>
    <mergeCell ref="B120:D120"/>
    <mergeCell ref="B121:D121"/>
    <mergeCell ref="B198:D198"/>
    <mergeCell ref="B222:B223"/>
    <mergeCell ref="C222:C223"/>
    <mergeCell ref="D222:D223"/>
    <mergeCell ref="B207:D207"/>
    <mergeCell ref="B134:D134"/>
    <mergeCell ref="B135:D135"/>
    <mergeCell ref="B136:D136"/>
    <mergeCell ref="B199:D199"/>
    <mergeCell ref="B193:D193"/>
    <mergeCell ref="B41:D41"/>
    <mergeCell ref="B38:D38"/>
    <mergeCell ref="B35:D35"/>
    <mergeCell ref="B34:D34"/>
    <mergeCell ref="B43:D43"/>
    <mergeCell ref="B44:D44"/>
    <mergeCell ref="B194:D194"/>
    <mergeCell ref="B196:D196"/>
    <mergeCell ref="B91:D91"/>
    <mergeCell ref="B151:D151"/>
    <mergeCell ref="B249:B250"/>
    <mergeCell ref="C249:C250"/>
    <mergeCell ref="A212:A221"/>
    <mergeCell ref="B233:D233"/>
    <mergeCell ref="B210:D210"/>
    <mergeCell ref="B220:D220"/>
    <mergeCell ref="B221:D221"/>
    <mergeCell ref="B230:D230"/>
    <mergeCell ref="B231:D231"/>
    <mergeCell ref="B219:D219"/>
    <mergeCell ref="B213:D213"/>
    <mergeCell ref="B214:D214"/>
    <mergeCell ref="B215:D215"/>
    <mergeCell ref="B216:D216"/>
    <mergeCell ref="B226:B227"/>
    <mergeCell ref="C226:C227"/>
    <mergeCell ref="D226:D227"/>
    <mergeCell ref="B224:B225"/>
    <mergeCell ref="C224:C225"/>
    <mergeCell ref="D224:D225"/>
    <mergeCell ref="B218:D218"/>
    <mergeCell ref="B217:D217"/>
    <mergeCell ref="B234:D234"/>
    <mergeCell ref="B228:D228"/>
  </mergeCells>
  <pageMargins left="0.70866141732283472" right="0" top="0.74803149606299213" bottom="0.74803149606299213" header="0.31496062992125984" footer="0.31496062992125984"/>
  <pageSetup paperSize="9" scale="60" fitToHeight="0" orientation="landscape" r:id="rId1"/>
  <rowBreaks count="11" manualBreakCount="11">
    <brk id="28" max="9" man="1"/>
    <brk id="51" max="9" man="1"/>
    <brk id="75" max="9" man="1"/>
    <brk id="91" max="9" man="1"/>
    <brk id="108" max="9" man="1"/>
    <brk id="129" max="9" man="1"/>
    <brk id="150" max="9" man="1"/>
    <brk id="165" max="9" man="1"/>
    <brk id="182" max="9" man="1"/>
    <brk id="210" max="9" man="1"/>
    <brk id="2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ИП 2012-2018</vt:lpstr>
      <vt:lpstr>ИП 2019-2024</vt:lpstr>
      <vt:lpstr>'ИП 2019-2024'!Заголовки_для_печати</vt:lpstr>
      <vt:lpstr>'ИП 2012-2018'!Область_печати</vt:lpstr>
      <vt:lpstr>'ИП 2019-2024'!Область_печати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2020-02-05T07:17:06Z</dcterms:modified>
</cp:coreProperties>
</file>