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4725" windowWidth="19005" windowHeight="7080" activeTab="1"/>
  </bookViews>
  <sheets>
    <sheet name="ИП 2012-2018" sheetId="7" r:id="rId1"/>
    <sheet name="ИП 2019-2024" sheetId="8" r:id="rId2"/>
  </sheets>
  <definedNames>
    <definedName name="_xlnm._FilterDatabase" localSheetId="0" hidden="1">'ИП 2012-2018'!$A$8:$J$8</definedName>
    <definedName name="_xlnm.Print_Titles" localSheetId="1">'ИП 2019-2024'!$A:$J,'ИП 2019-2024'!$6:$7</definedName>
    <definedName name="_xlnm.Print_Area" localSheetId="0">'ИП 2012-2018'!$A$1:$J$27</definedName>
    <definedName name="_xlnm.Print_Area" localSheetId="1">'ИП 2019-2024'!$A$1:$J$126</definedName>
  </definedNames>
  <calcPr calcId="145621"/>
</workbook>
</file>

<file path=xl/calcChain.xml><?xml version="1.0" encoding="utf-8"?>
<calcChain xmlns="http://schemas.openxmlformats.org/spreadsheetml/2006/main">
  <c r="D112" i="8" l="1"/>
  <c r="D95" i="8"/>
  <c r="D76" i="8"/>
  <c r="D55" i="8"/>
  <c r="D53" i="8"/>
  <c r="D54" i="8" l="1"/>
  <c r="D52" i="8"/>
  <c r="D46" i="8"/>
  <c r="D44" i="8"/>
  <c r="D20" i="8"/>
  <c r="D9" i="7" l="1"/>
  <c r="G108" i="8" l="1"/>
  <c r="G115" i="8" l="1"/>
  <c r="H115" i="8"/>
  <c r="J90" i="8"/>
  <c r="H90" i="8" s="1"/>
  <c r="G90" i="8"/>
  <c r="E90" i="8" s="1"/>
  <c r="J59" i="8"/>
  <c r="H59" i="8" s="1"/>
  <c r="J94" i="8"/>
  <c r="G94" i="8"/>
  <c r="E94" i="8" s="1"/>
  <c r="J83" i="8"/>
  <c r="H83" i="8" s="1"/>
  <c r="J84" i="8"/>
  <c r="H84" i="8" s="1"/>
  <c r="G105" i="8"/>
  <c r="E105" i="8" s="1"/>
  <c r="H94" i="8" l="1"/>
  <c r="G112" i="8"/>
  <c r="G20" i="8"/>
  <c r="E20" i="8"/>
  <c r="G85" i="8"/>
  <c r="E85" i="8" s="1"/>
  <c r="E112" i="8" l="1"/>
  <c r="J112" i="8"/>
  <c r="J114" i="8"/>
  <c r="H114" i="8" s="1"/>
  <c r="E115" i="8"/>
  <c r="E114" i="8"/>
  <c r="G93" i="8"/>
  <c r="E93" i="8" s="1"/>
  <c r="J93" i="8"/>
  <c r="H93" i="8" s="1"/>
  <c r="G77" i="8" l="1"/>
  <c r="H10" i="7"/>
  <c r="J113" i="8"/>
  <c r="H113" i="8" s="1"/>
  <c r="G113" i="8"/>
  <c r="E113" i="8" s="1"/>
  <c r="J92" i="8"/>
  <c r="H92" i="8" s="1"/>
  <c r="E92" i="8" l="1"/>
  <c r="G87" i="8"/>
  <c r="E87" i="8" s="1"/>
  <c r="G9" i="7" l="1"/>
  <c r="E9" i="7" s="1"/>
  <c r="J111" i="8" l="1"/>
  <c r="J110" i="8"/>
  <c r="H110" i="8" s="1"/>
  <c r="H112" i="8"/>
  <c r="J82" i="8"/>
  <c r="H82" i="8" s="1"/>
  <c r="J20" i="8"/>
  <c r="H20" i="8" s="1"/>
  <c r="J81" i="8"/>
  <c r="H81" i="8" s="1"/>
  <c r="J55" i="8"/>
  <c r="J89" i="8"/>
  <c r="H89" i="8" s="1"/>
  <c r="E89" i="8"/>
  <c r="J91" i="8"/>
  <c r="H91" i="8" s="1"/>
  <c r="G55" i="8"/>
  <c r="E55" i="8" s="1"/>
  <c r="G84" i="8"/>
  <c r="E84" i="8" s="1"/>
  <c r="G83" i="8"/>
  <c r="E83" i="8" s="1"/>
  <c r="G82" i="8"/>
  <c r="E82" i="8" s="1"/>
  <c r="H55" i="8" l="1"/>
  <c r="H111" i="8"/>
  <c r="G86" i="8"/>
  <c r="E86" i="8" s="1"/>
  <c r="G81" i="8"/>
  <c r="E81" i="8" s="1"/>
  <c r="J80" i="8"/>
  <c r="H80" i="8" s="1"/>
  <c r="G80" i="8"/>
  <c r="E80" i="8" s="1"/>
  <c r="G45" i="8"/>
  <c r="E45" i="8" l="1"/>
  <c r="G53" i="8"/>
  <c r="E53" i="8" s="1"/>
  <c r="J109" i="8" l="1"/>
  <c r="H109" i="8" s="1"/>
  <c r="J88" i="8"/>
  <c r="J119" i="8" s="1"/>
  <c r="G88" i="8"/>
  <c r="E88" i="8" s="1"/>
  <c r="H88" i="8" l="1"/>
  <c r="G76" i="8"/>
  <c r="E76" i="8" s="1"/>
  <c r="G54" i="8"/>
  <c r="E54" i="8" s="1"/>
  <c r="G52" i="8"/>
  <c r="E52" i="8" l="1"/>
  <c r="G95" i="8"/>
  <c r="E95" i="8" s="1"/>
  <c r="G46" i="8"/>
  <c r="E46" i="8" s="1"/>
  <c r="G109" i="8"/>
  <c r="E109" i="8" s="1"/>
  <c r="G44" i="8"/>
  <c r="G119" i="8" l="1"/>
  <c r="E44" i="8"/>
  <c r="G47" i="8"/>
  <c r="J19" i="8"/>
  <c r="H19" i="8" s="1"/>
  <c r="G120" i="8" l="1"/>
  <c r="J18" i="8"/>
  <c r="H117" i="8"/>
  <c r="H116" i="8"/>
  <c r="H108" i="8"/>
  <c r="H107" i="8"/>
  <c r="H106" i="8"/>
  <c r="H104" i="8"/>
  <c r="H103" i="8"/>
  <c r="H102" i="8"/>
  <c r="H101" i="8"/>
  <c r="H100" i="8"/>
  <c r="H99" i="8"/>
  <c r="H98" i="8"/>
  <c r="H97" i="8"/>
  <c r="H96" i="8"/>
  <c r="H79" i="8"/>
  <c r="H78" i="8"/>
  <c r="H77" i="8"/>
  <c r="H75" i="8"/>
  <c r="H74" i="8"/>
  <c r="H73" i="8"/>
  <c r="H72" i="8"/>
  <c r="H71" i="8"/>
  <c r="H70" i="8"/>
  <c r="H68" i="8"/>
  <c r="H67" i="8"/>
  <c r="H66" i="8"/>
  <c r="H65" i="8"/>
  <c r="H64" i="8"/>
  <c r="H63" i="8"/>
  <c r="H62" i="8"/>
  <c r="H61" i="8"/>
  <c r="H60" i="8"/>
  <c r="H58" i="8"/>
  <c r="H57" i="8"/>
  <c r="H56" i="8"/>
  <c r="H51" i="8"/>
  <c r="H50" i="8"/>
  <c r="H49" i="8"/>
  <c r="H43" i="8"/>
  <c r="H42" i="8"/>
  <c r="H41" i="8"/>
  <c r="H40" i="8"/>
  <c r="H39" i="8"/>
  <c r="H38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1" i="8"/>
  <c r="E118" i="8"/>
  <c r="E117" i="8"/>
  <c r="E116" i="8"/>
  <c r="E108" i="8"/>
  <c r="E107" i="8"/>
  <c r="E106" i="8"/>
  <c r="E104" i="8"/>
  <c r="E103" i="8"/>
  <c r="E102" i="8"/>
  <c r="E101" i="8"/>
  <c r="E100" i="8"/>
  <c r="E99" i="8"/>
  <c r="E98" i="8"/>
  <c r="E97" i="8"/>
  <c r="E96" i="8"/>
  <c r="E79" i="8"/>
  <c r="E78" i="8"/>
  <c r="E77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8" i="8"/>
  <c r="E57" i="8"/>
  <c r="E56" i="8"/>
  <c r="E51" i="8"/>
  <c r="E50" i="8"/>
  <c r="E49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H17" i="8"/>
  <c r="H16" i="8"/>
  <c r="H15" i="8"/>
  <c r="H14" i="8"/>
  <c r="H13" i="8"/>
  <c r="H12" i="8"/>
  <c r="H11" i="8"/>
  <c r="H10" i="8"/>
  <c r="H9" i="8"/>
  <c r="E10" i="8"/>
  <c r="E11" i="8"/>
  <c r="E12" i="8"/>
  <c r="E13" i="8"/>
  <c r="E14" i="8"/>
  <c r="E15" i="8"/>
  <c r="E16" i="8"/>
  <c r="E17" i="8"/>
  <c r="E9" i="8"/>
  <c r="E119" i="8" l="1"/>
  <c r="H18" i="8"/>
  <c r="H47" i="8" s="1"/>
  <c r="J47" i="8"/>
  <c r="E47" i="8"/>
  <c r="H119" i="8"/>
  <c r="J120" i="8" l="1"/>
  <c r="J10" i="7"/>
  <c r="J15" i="7"/>
  <c r="G15" i="7" l="1"/>
  <c r="G10" i="7"/>
  <c r="E120" i="8" l="1"/>
  <c r="H120" i="8"/>
  <c r="E10" i="7" l="1"/>
  <c r="E15" i="7" l="1"/>
  <c r="G17" i="7"/>
  <c r="J12" i="7"/>
  <c r="H15" i="7"/>
  <c r="E17" i="7" l="1"/>
  <c r="H12" i="7"/>
  <c r="E12" i="7"/>
  <c r="G12" i="7"/>
  <c r="J18" i="7"/>
  <c r="G18" i="7" l="1"/>
  <c r="E18" i="7"/>
  <c r="H17" i="7" l="1"/>
  <c r="H18" i="7" l="1"/>
</calcChain>
</file>

<file path=xl/sharedStrings.xml><?xml version="1.0" encoding="utf-8"?>
<sst xmlns="http://schemas.openxmlformats.org/spreadsheetml/2006/main" count="249" uniqueCount="137">
  <si>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</si>
  <si>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</si>
  <si>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</si>
  <si>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</si>
  <si>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</si>
  <si>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</si>
  <si>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</si>
  <si>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</si>
  <si>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</si>
  <si>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</si>
  <si>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</si>
  <si>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</si>
  <si>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</si>
  <si>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</si>
  <si>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</si>
  <si>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</si>
  <si>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</si>
  <si>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</si>
  <si>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</si>
  <si>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</si>
  <si>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</si>
  <si>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 xml:space="preserve">Финансовый директор </t>
  </si>
  <si>
    <t>Е.С. Александрова</t>
  </si>
  <si>
    <t>С.В. Туршатова</t>
  </si>
  <si>
    <t xml:space="preserve">Строительство ВПС-21. (Переоценка запасов подземных вод, ПИР.) 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</si>
  <si>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</si>
  <si>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ВСЕГО по ВОДОСНАБЖЕНИЮ и ВОДООТВЕДЕНИЮ</t>
  </si>
  <si>
    <t>ПИР и СМР. Реконструкция Главного Левобережного коллектора от КК-1 до К-11 Д=2000 мм протяженностью L=1300 м (инв.№ 30014578)</t>
  </si>
  <si>
    <t>Заработная плата (январь)</t>
  </si>
  <si>
    <t xml:space="preserve">ПИР.СМР.Реконструкция первичного отстойника №  5 (система водосливов) </t>
  </si>
  <si>
    <t>ПИР.СМР.Реконструкция вторичного отстойника №  3 (система илоскребов)</t>
  </si>
  <si>
    <t>ПИР и СМР. Реконструкция водовода д=500 мм по ул. Красный октябрь  L=300 п.м</t>
  </si>
  <si>
    <t xml:space="preserve"> Создание систем охраны периметра  ВПС-3а, ВПС-4, ВПС-6, ВПС-9.</t>
  </si>
  <si>
    <t>Заработная плата (февраль)</t>
  </si>
  <si>
    <t>Заработная плата (март)</t>
  </si>
  <si>
    <t>ПИР, СМР. Реконструкция системы водоотведения мкр. Тепличный со строительством КНС:Строительство 2-х напорных ниток к/сетей L=60 п.м.Строительство самотечной линии Д=500 м.м. L=25 п.м.Строительство КНС мощностью 3000 м3/сутки</t>
  </si>
  <si>
    <t>ПИР и СМР Реконструкция канализационных сетей жилой зоны городского микрорайона Никольское.</t>
  </si>
  <si>
    <t xml:space="preserve">ПИР и СМР Реконструкция канализационной линии по Ленинскому проспекту 8/1, Д= 300 мм протяженностью L=190 м </t>
  </si>
  <si>
    <t>о ходе исполнения инвестиционной программы "Реконструкция (модернизация) систем водоснабжения и водоотведения на территории  городского округа город Воронеж на 2019-2024 годы" ООО "РВК-Воронеж"</t>
  </si>
  <si>
    <t>ООО "СтройПолимерМонтаж"</t>
  </si>
  <si>
    <t>Д.ДВК.ВЖВК.ДКС-31052019-0003, доп. соглашение Д.ДВК.ВЖКВ.ДКС-31052019-0003ДС-0001 от 24.062019</t>
  </si>
  <si>
    <t>Д.ДВК.ВЖВК.ДКС.ОПР-25062019-0003 от 25.06.2019</t>
  </si>
  <si>
    <t>Начальник ОПиРИП</t>
  </si>
  <si>
    <t xml:space="preserve"> ООО ЭНЕРГОИМПУЛЬС</t>
  </si>
  <si>
    <t xml:space="preserve">ООО ТЕХНОЛОГИИ 21 ВЕК </t>
  </si>
  <si>
    <t>№Д.ДВК.ВЖВК.ДКС.ОКС-12112019-0001 от 12.11.2019</t>
  </si>
  <si>
    <t xml:space="preserve"> ООО ТЕХНОЛОГИИ 21 ВЕК</t>
  </si>
  <si>
    <t>Д.ДВК.ВЖВК.ДКС-18112019-0001 от 18.11.2019</t>
  </si>
  <si>
    <t>ПИР, СМР. Реконструкция канализационного коллектора L=2452 м.п.  Д=800-1000мм на Д=1000мм по ул.Землячки 9-11, по ул.Витрука, вдоль Ленинского пр-та  до ул. 25 Января 72 (инв.№ 30012510)</t>
  </si>
  <si>
    <t>ПИР и СМР. СПИВ на ВПС-8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</si>
  <si>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>ПИР и СМР. СПИВ на ВПС-12 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</si>
  <si>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 xml:space="preserve">Комплекс мероприятий по обеспечению инженерной инфраструктуры для ВПС-21 </t>
  </si>
  <si>
    <t>ПИР и СМР. Вынос водоводов д=600мм и д=1000мм из под насыпи (существующая глубина заложения до 10м) на участке от ПС-14 до БСМП протяженность 1000 пм ПИР и СМР (инв. номер 30008483).</t>
  </si>
  <si>
    <t>ПИР, СМР. Реконструкция напорного водовода Ø1000мм. от ВПС-11/2 до ВПС-11/3 срок реализации 2020-2023гг. Инвентарный номер 30000271 (правая ветка)</t>
  </si>
  <si>
    <t>ПИР. Строительство двух водопроводных линий Д = 400 мм  по ул. Изыскателей до точек врезки в водовод Д1000 мм в районе ул. Куйбышева L≈1300 м.п., каждая.</t>
  </si>
  <si>
    <t>СМР. Реконструкция ВПС-11/2. Комплекс работ по техническому перевооружению оборудования машинных залов. Строительство ОРУ-35 кВ  (инв. №10000220)</t>
  </si>
  <si>
    <t>СМР. Реконструкция  ВПС-6. Комплекс работ по техническому перевооружению оборудования машинных залов. (инв. №100000077)</t>
  </si>
  <si>
    <t xml:space="preserve">ПИР,СМР. Реконструкция  ПС-5. </t>
  </si>
  <si>
    <t>СМР. Реконструкция  ВПС-3а. Комплекс работ по техническому перевооружению оборудования машинных залов. (инв. №10000071)</t>
  </si>
  <si>
    <t>Автоматизация ПНС, установка расходомеров для организации учета расходов воды по зонам</t>
  </si>
  <si>
    <t xml:space="preserve">ПИР и СМР. Строительство сооружений доочистки с внедрением реагентного удаления фосфатов и механического удаления примесей на ПОС </t>
  </si>
  <si>
    <t>ПИР.СМР. Установка приборов учета качества сточных вод</t>
  </si>
  <si>
    <t>ПИР и СМР Реконструкция канализационной линии по ул. Дорожная
 Д= 800/1000 мм протяженностью L= 2092 м (инв.№ 3000577)</t>
  </si>
  <si>
    <t>ПИР и СМР Реконструкция канализационной линии по ул. Геофизическая (ул. Мазлумова) до КНС-20, Д= 900 мм протяженностью L= 1602 м (инв.№ 3000577)</t>
  </si>
  <si>
    <t>ПИР и СМР. Монтаж закрытых ж/б монолитных коллекторов выпуска очищенной сточной воды протяженностью L≈3120 м с шириной сечения 2000 мм в две ветки на ПОС. Предусмотреть не затопляемый береговой выпуск.</t>
  </si>
  <si>
    <t>ПИР и СМР Реконструкция канализационных сетей жилой зоны ул. Чебышева с переключением многоквартирных домов на вновь построенный канализационный коллектор по ул. Дубровина.</t>
  </si>
  <si>
    <t>ПИР и СМР. Реконструкция коллектора Д1200 L-5800м.п. от ГКНС до ЛОС.</t>
  </si>
  <si>
    <t>ПИР, СМР. Реконструкция системы водоотведения квартала ограниченного улицами Красный Октябрь - пер. Отличников – Иркутская – Циолковского со строительством 2х КНС, самотечных и напорных канализационных линий.</t>
  </si>
  <si>
    <t>ПИР и СМР. Реконструкция ГКНС (инв. №10000470)  с заменой оборудования и автоматизацией</t>
  </si>
  <si>
    <t xml:space="preserve">ПИР и СМР. Строительство новой ГКНС </t>
  </si>
  <si>
    <t>ПИР. Строительство напорных канализационных линий Д=500 мм  L≈7000 м.п. каждая, по ул. Изыскателей, Беломорская, Калининградская, Планетная, Богатырская до разгрузочной камеры на канализационном коллекторе Д –1000 мм по ул. Землячки</t>
  </si>
  <si>
    <t>1 квартал  2020 г.</t>
  </si>
  <si>
    <t>__</t>
  </si>
  <si>
    <t>Давальческий материал (январь)</t>
  </si>
  <si>
    <t>ООО "ТВ-Сервис"</t>
  </si>
  <si>
    <t>Д.ДВК.ВЖВК.ДКС-05092019-0003 05.09.2019</t>
  </si>
  <si>
    <t>№1110 от 20.01.2020</t>
  </si>
  <si>
    <t>№1204 от 24.01.2020</t>
  </si>
  <si>
    <t>ООО СВЯЗЬИНФОРМ</t>
  </si>
  <si>
    <t>Д.ДВК.ВЖВК.ДКС-05092019-0004</t>
  </si>
  <si>
    <t>№1213 от 27.01.2020</t>
  </si>
  <si>
    <t>№1262 от 29.01.2020</t>
  </si>
  <si>
    <t>ООО РВК.ЭКОСЕРВИС</t>
  </si>
  <si>
    <t>Д.ДВК.ВЖВК.ДКС-02072019-0002</t>
  </si>
  <si>
    <t>№1264 от 29.01.2020</t>
  </si>
  <si>
    <t>№1263 от 29.01.2020</t>
  </si>
  <si>
    <t>ООО ИНСЕРВИС</t>
  </si>
  <si>
    <t>Д.ДВК.ВЖВК.ДКС.ОПР-02072019-0007</t>
  </si>
  <si>
    <t>№1265 от 29.01.2020</t>
  </si>
  <si>
    <t>Капитализация процентов январь</t>
  </si>
  <si>
    <t>ООО СК РЕАЛ</t>
  </si>
  <si>
    <t xml:space="preserve">Д.ДВК.ВЖВК.ДКС-12112019-0002 от 12.11.2019 </t>
  </si>
  <si>
    <t>№1384 от 03.02.2020</t>
  </si>
  <si>
    <t>ООО ПРОЕКТИНЖИНИРИНГ</t>
  </si>
  <si>
    <t>Д.ДВК.ВЖВК.ДКС.ОПР-08072019-0007</t>
  </si>
  <si>
    <t>№1386 от 03.02.2020</t>
  </si>
  <si>
    <t>№3782 от 17.02.2020</t>
  </si>
  <si>
    <t>№3758 от 17.02.2020</t>
  </si>
  <si>
    <t>№3747 от 17.02.2020</t>
  </si>
  <si>
    <t>Лимкор ООО</t>
  </si>
  <si>
    <t>Д.ДВК.ВЖВК.ОУСС-30092019-0001 от 30.09.2019</t>
  </si>
  <si>
    <t>№3748 от 17.02.2020</t>
  </si>
  <si>
    <t>№4529 от 28.02.2020</t>
  </si>
  <si>
    <t>№4530 от 28.02.2020</t>
  </si>
  <si>
    <t>№4531 от 28.02.2020</t>
  </si>
  <si>
    <t>№4532 от 28.02.2020</t>
  </si>
  <si>
    <t>Давальческий материал (февраль)</t>
  </si>
  <si>
    <t>Капитализация процентов февраль</t>
  </si>
  <si>
    <t>ПИР и СМР. Реконструкция участка сборного водовода Д=1000мм. на ВПС-8 от скв.№№1;1а в сторону камеры переключений L-80п.м. с заменой секционной запорной арматуры: Д=800мм.-2ед.; Д=600мм.-1ед. (инв. номер 3. 30005457).</t>
  </si>
  <si>
    <t>ОАО "ВОРОНЕЖПРОЕКТ"</t>
  </si>
  <si>
    <t>№Д.ДВК.ВЖВК.ДКС.ОПР-19112019-0005</t>
  </si>
  <si>
    <t>ООО «СЭНТО»</t>
  </si>
  <si>
    <t xml:space="preserve">Дополнит.соглашение №1 от 28.02.2020г.Д.ДВК.ВЖВК.ДКС.ОПР-23072019-0002 7/23/2019 </t>
  </si>
  <si>
    <t>ООО УК "РОСВОДОКАНАЛ"</t>
  </si>
  <si>
    <t>№130/19 от 07.03.2019</t>
  </si>
  <si>
    <t>№5640 от 16.03.2020</t>
  </si>
  <si>
    <t>№5730 от 20.03.2020</t>
  </si>
  <si>
    <t>№5639 от 16.03.2020</t>
  </si>
  <si>
    <t>ПАО "МРСК ЦЕНТРА"</t>
  </si>
  <si>
    <t>№6180 от 27.03.2020</t>
  </si>
  <si>
    <t>Капитализация процентов март</t>
  </si>
  <si>
    <t>Работы/мероприятия  по  отладке/переустройству оборудования ОСК с целью повышения показателей энергоэффективности объектов централизованных систем  водоотведения.</t>
  </si>
  <si>
    <t>АО "МАЙ ПРОЕКТ"</t>
  </si>
  <si>
    <r>
      <t xml:space="preserve">КС-2, КС-3 </t>
    </r>
    <r>
      <rPr>
        <sz val="11"/>
        <color theme="1"/>
        <rFont val="Arial"/>
        <family val="2"/>
        <charset val="204"/>
      </rPr>
      <t>№2 от 30.01.2020</t>
    </r>
  </si>
  <si>
    <t>КС-2, КС-3 №28 от 28.01.2020</t>
  </si>
  <si>
    <t>КС-2, КС-3 №3 от 30.01.2020</t>
  </si>
  <si>
    <t>КС-2, КС-3 №3 от 10.02.2020</t>
  </si>
  <si>
    <t>КС-2, КС-3 №29 от 17.02.2020</t>
  </si>
  <si>
    <t>Акт №4а от 20.01.2020</t>
  </si>
  <si>
    <t>КС-2, КС-3 №30 от 28.02.2020</t>
  </si>
  <si>
    <t xml:space="preserve">Д.ДВК.ВЖВК,ДПП-06082019-001 </t>
  </si>
  <si>
    <t>КС-2, КС-3 №31 от 18.03.2020</t>
  </si>
  <si>
    <t>Корректировочные КС-2, КС-3 №32 от 26.03.2020</t>
  </si>
  <si>
    <t>Акт о приемке-передаче №1 от 20.03.2020</t>
  </si>
  <si>
    <t>Акт сдачи-приемки вып. работ от 28.02.2020</t>
  </si>
  <si>
    <t>КС-2, КС-3 №4 от 18.02.2020</t>
  </si>
  <si>
    <t>КС-2, КС-3 №5 от 18.02.2020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</si>
</sst>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i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14" fillId="0" borderId="0"/>
    <xf numFmtId="0" fontId="4" fillId="0" borderId="0"/>
    <xf numFmtId="0" fontId="17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5" fillId="0" borderId="0" xfId="1"/>
    <xf numFmtId="0" fontId="7" fillId="0" borderId="0" xfId="1" applyFont="1"/>
    <xf numFmtId="4" fontId="5" fillId="0" borderId="0" xfId="1" applyNumberFormat="1"/>
    <xf numFmtId="0" fontId="5" fillId="0" borderId="0" xfId="1" applyBorder="1"/>
    <xf numFmtId="0" fontId="1" fillId="0" borderId="0" xfId="1" applyFont="1"/>
    <xf numFmtId="0" fontId="5" fillId="3" borderId="0" xfId="1" applyFill="1"/>
    <xf numFmtId="0" fontId="5" fillId="0" borderId="24" xfId="1" applyBorder="1"/>
    <xf numFmtId="0" fontId="7" fillId="2" borderId="0" xfId="1" applyFont="1" applyFill="1"/>
    <xf numFmtId="4" fontId="7" fillId="2" borderId="0" xfId="1" applyNumberFormat="1" applyFont="1" applyFill="1"/>
    <xf numFmtId="0" fontId="16" fillId="2" borderId="11" xfId="2" applyFont="1" applyFill="1" applyBorder="1" applyAlignment="1">
      <alignment horizontal="center" vertical="center" wrapText="1"/>
    </xf>
    <xf numFmtId="0" fontId="16" fillId="2" borderId="20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7" fillId="2" borderId="0" xfId="2" applyFont="1" applyFill="1"/>
    <xf numFmtId="0" fontId="15" fillId="2" borderId="0" xfId="2" applyFont="1" applyFill="1" applyAlignment="1">
      <alignment horizontal="left"/>
    </xf>
    <xf numFmtId="0" fontId="8" fillId="2" borderId="0" xfId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/>
    <xf numFmtId="164" fontId="9" fillId="2" borderId="0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/>
    </xf>
    <xf numFmtId="164" fontId="9" fillId="2" borderId="10" xfId="2" applyNumberFormat="1" applyFont="1" applyFill="1" applyBorder="1" applyAlignment="1">
      <alignment horizontal="center" vertical="center" wrapText="1"/>
    </xf>
    <xf numFmtId="2" fontId="19" fillId="2" borderId="15" xfId="1" applyNumberFormat="1" applyFont="1" applyFill="1" applyBorder="1" applyAlignment="1">
      <alignment horizontal="center" vertical="center"/>
    </xf>
    <xf numFmtId="4" fontId="15" fillId="2" borderId="21" xfId="2" applyNumberFormat="1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vertical="center" wrapText="1"/>
    </xf>
    <xf numFmtId="0" fontId="15" fillId="2" borderId="21" xfId="2" applyFont="1" applyFill="1" applyBorder="1" applyAlignment="1">
      <alignment vertical="center" wrapText="1"/>
    </xf>
    <xf numFmtId="4" fontId="16" fillId="2" borderId="21" xfId="2" applyNumberFormat="1" applyFont="1" applyFill="1" applyBorder="1" applyAlignment="1">
      <alignment horizontal="center" vertical="center" wrapText="1"/>
    </xf>
    <xf numFmtId="4" fontId="16" fillId="2" borderId="22" xfId="2" applyNumberFormat="1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4" fontId="16" fillId="2" borderId="8" xfId="2" applyNumberFormat="1" applyFont="1" applyFill="1" applyBorder="1" applyAlignment="1">
      <alignment horizontal="center" vertical="center" wrapText="1"/>
    </xf>
    <xf numFmtId="164" fontId="16" fillId="2" borderId="0" xfId="2" applyNumberFormat="1" applyFont="1" applyFill="1" applyBorder="1" applyAlignment="1">
      <alignment horizontal="center" vertical="center" wrapText="1"/>
    </xf>
    <xf numFmtId="164" fontId="15" fillId="2" borderId="0" xfId="2" applyNumberFormat="1" applyFont="1" applyFill="1" applyBorder="1" applyAlignment="1">
      <alignment horizontal="center" vertical="center" wrapText="1"/>
    </xf>
    <xf numFmtId="4" fontId="16" fillId="2" borderId="0" xfId="2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5" fillId="2" borderId="0" xfId="2" applyFont="1" applyFill="1"/>
    <xf numFmtId="0" fontId="7" fillId="2" borderId="0" xfId="2" applyFont="1" applyFill="1" applyBorder="1"/>
    <xf numFmtId="164" fontId="7" fillId="2" borderId="0" xfId="1" applyNumberFormat="1" applyFont="1" applyFill="1"/>
    <xf numFmtId="0" fontId="15" fillId="2" borderId="0" xfId="2" applyFont="1" applyFill="1" applyBorder="1" applyAlignment="1">
      <alignment horizontal="left"/>
    </xf>
    <xf numFmtId="0" fontId="15" fillId="2" borderId="0" xfId="2" applyFont="1" applyFill="1" applyBorder="1"/>
    <xf numFmtId="0" fontId="19" fillId="2" borderId="0" xfId="0" applyFont="1" applyFill="1" applyBorder="1"/>
    <xf numFmtId="0" fontId="5" fillId="2" borderId="0" xfId="1" applyFill="1"/>
    <xf numFmtId="0" fontId="5" fillId="2" borderId="0" xfId="1" applyFill="1" applyBorder="1"/>
    <xf numFmtId="4" fontId="5" fillId="2" borderId="0" xfId="1" applyNumberFormat="1" applyFill="1"/>
    <xf numFmtId="4" fontId="15" fillId="2" borderId="15" xfId="2" applyNumberFormat="1" applyFont="1" applyFill="1" applyBorder="1" applyAlignment="1">
      <alignment horizontal="center" vertical="center" wrapText="1"/>
    </xf>
    <xf numFmtId="4" fontId="15" fillId="2" borderId="16" xfId="2" applyNumberFormat="1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2" fontId="19" fillId="2" borderId="13" xfId="1" applyNumberFormat="1" applyFont="1" applyFill="1" applyBorder="1" applyAlignment="1">
      <alignment horizontal="center" vertical="center"/>
    </xf>
    <xf numFmtId="0" fontId="15" fillId="2" borderId="21" xfId="3" applyNumberFormat="1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 wrapText="1"/>
    </xf>
    <xf numFmtId="4" fontId="16" fillId="2" borderId="26" xfId="2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4" fontId="0" fillId="2" borderId="0" xfId="0" applyNumberFormat="1" applyFill="1"/>
    <xf numFmtId="2" fontId="0" fillId="0" borderId="0" xfId="0" applyNumberFormat="1"/>
    <xf numFmtId="0" fontId="15" fillId="2" borderId="8" xfId="2" applyFont="1" applyFill="1" applyBorder="1" applyAlignment="1">
      <alignment horizontal="center" vertical="center" wrapText="1"/>
    </xf>
    <xf numFmtId="4" fontId="15" fillId="2" borderId="8" xfId="2" applyNumberFormat="1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21" fillId="0" borderId="0" xfId="0" applyFont="1"/>
    <xf numFmtId="0" fontId="23" fillId="2" borderId="0" xfId="2" applyFont="1" applyFill="1" applyBorder="1" applyAlignment="1">
      <alignment horizontal="left"/>
    </xf>
    <xf numFmtId="0" fontId="24" fillId="2" borderId="0" xfId="2" applyFont="1" applyFill="1" applyBorder="1"/>
    <xf numFmtId="0" fontId="25" fillId="2" borderId="0" xfId="0" applyFont="1" applyFill="1" applyBorder="1"/>
    <xf numFmtId="0" fontId="23" fillId="2" borderId="0" xfId="2" applyFont="1" applyFill="1" applyBorder="1"/>
    <xf numFmtId="0" fontId="23" fillId="2" borderId="0" xfId="2" applyFont="1" applyFill="1" applyAlignment="1">
      <alignment horizontal="left"/>
    </xf>
    <xf numFmtId="0" fontId="23" fillId="2" borderId="0" xfId="2" applyFont="1" applyFill="1"/>
    <xf numFmtId="0" fontId="24" fillId="2" borderId="0" xfId="2" applyFont="1" applyFill="1"/>
    <xf numFmtId="0" fontId="15" fillId="2" borderId="43" xfId="3" applyNumberFormat="1" applyFont="1" applyFill="1" applyBorder="1" applyAlignment="1">
      <alignment vertical="center" wrapText="1"/>
    </xf>
    <xf numFmtId="0" fontId="15" fillId="2" borderId="39" xfId="3" applyNumberFormat="1" applyFont="1" applyFill="1" applyBorder="1" applyAlignment="1">
      <alignment horizontal="center" vertical="center" wrapText="1"/>
    </xf>
    <xf numFmtId="0" fontId="15" fillId="2" borderId="41" xfId="3" applyNumberFormat="1" applyFont="1" applyFill="1" applyBorder="1" applyAlignment="1">
      <alignment horizontal="center" vertical="center" wrapText="1"/>
    </xf>
    <xf numFmtId="2" fontId="19" fillId="2" borderId="14" xfId="1" applyNumberFormat="1" applyFont="1" applyFill="1" applyBorder="1" applyAlignment="1">
      <alignment horizontal="center" vertical="center"/>
    </xf>
    <xf numFmtId="2" fontId="19" fillId="2" borderId="21" xfId="1" applyNumberFormat="1" applyFont="1" applyFill="1" applyBorder="1" applyAlignment="1">
      <alignment horizontal="center" vertical="center"/>
    </xf>
    <xf numFmtId="2" fontId="19" fillId="2" borderId="22" xfId="1" applyNumberFormat="1" applyFont="1" applyFill="1" applyBorder="1" applyAlignment="1">
      <alignment horizontal="center" vertical="center"/>
    </xf>
    <xf numFmtId="0" fontId="15" fillId="2" borderId="28" xfId="3" applyNumberFormat="1" applyFont="1" applyFill="1" applyBorder="1" applyAlignment="1">
      <alignment horizontal="center" vertical="center" wrapText="1"/>
    </xf>
    <xf numFmtId="0" fontId="15" fillId="2" borderId="45" xfId="3" applyNumberFormat="1" applyFont="1" applyFill="1" applyBorder="1" applyAlignment="1">
      <alignment horizontal="center" vertical="center" wrapText="1"/>
    </xf>
    <xf numFmtId="2" fontId="19" fillId="2" borderId="46" xfId="1" applyNumberFormat="1" applyFont="1" applyFill="1" applyBorder="1" applyAlignment="1">
      <alignment horizontal="center" vertical="center"/>
    </xf>
    <xf numFmtId="2" fontId="15" fillId="2" borderId="19" xfId="1" applyNumberFormat="1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 wrapText="1"/>
    </xf>
    <xf numFmtId="0" fontId="0" fillId="4" borderId="0" xfId="0" applyFill="1"/>
    <xf numFmtId="0" fontId="15" fillId="2" borderId="25" xfId="3" applyNumberFormat="1" applyFont="1" applyFill="1" applyBorder="1" applyAlignment="1">
      <alignment horizontal="center" vertical="center" wrapText="1"/>
    </xf>
    <xf numFmtId="0" fontId="15" fillId="2" borderId="32" xfId="3" applyNumberFormat="1" applyFont="1" applyFill="1" applyBorder="1" applyAlignment="1">
      <alignment horizontal="center" vertical="center" wrapText="1"/>
    </xf>
    <xf numFmtId="0" fontId="15" fillId="2" borderId="44" xfId="3" applyNumberFormat="1" applyFont="1" applyFill="1" applyBorder="1" applyAlignment="1">
      <alignment horizontal="center" vertical="center" wrapText="1"/>
    </xf>
    <xf numFmtId="0" fontId="5" fillId="2" borderId="7" xfId="1" applyFill="1" applyBorder="1"/>
    <xf numFmtId="2" fontId="19" fillId="2" borderId="19" xfId="1" applyNumberFormat="1" applyFont="1" applyFill="1" applyBorder="1" applyAlignment="1">
      <alignment horizontal="center" vertical="center" wrapText="1"/>
    </xf>
    <xf numFmtId="164" fontId="15" fillId="2" borderId="19" xfId="2" applyNumberFormat="1" applyFont="1" applyFill="1" applyBorder="1" applyAlignment="1">
      <alignment horizontal="center" vertical="center" wrapText="1"/>
    </xf>
    <xf numFmtId="4" fontId="15" fillId="2" borderId="18" xfId="2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2" fontId="15" fillId="2" borderId="42" xfId="2" applyNumberFormat="1" applyFont="1" applyFill="1" applyBorder="1" applyAlignment="1">
      <alignment horizontal="center" vertical="center" wrapText="1"/>
    </xf>
    <xf numFmtId="2" fontId="15" fillId="2" borderId="35" xfId="3" applyNumberFormat="1" applyFont="1" applyFill="1" applyBorder="1" applyAlignment="1">
      <alignment horizontal="center" vertical="center" wrapText="1"/>
    </xf>
    <xf numFmtId="2" fontId="15" fillId="2" borderId="13" xfId="3" applyNumberFormat="1" applyFont="1" applyFill="1" applyBorder="1" applyAlignment="1">
      <alignment horizontal="center" vertical="center" wrapText="1"/>
    </xf>
    <xf numFmtId="2" fontId="15" fillId="2" borderId="15" xfId="3" applyNumberFormat="1" applyFont="1" applyFill="1" applyBorder="1" applyAlignment="1">
      <alignment horizontal="center" vertical="center" wrapText="1"/>
    </xf>
    <xf numFmtId="2" fontId="15" fillId="2" borderId="45" xfId="3" applyNumberFormat="1" applyFont="1" applyFill="1" applyBorder="1" applyAlignment="1">
      <alignment horizontal="center" vertical="center" wrapText="1"/>
    </xf>
    <xf numFmtId="0" fontId="15" fillId="2" borderId="1" xfId="3" applyNumberFormat="1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19" xfId="3" applyNumberFormat="1" applyFont="1" applyFill="1" applyBorder="1" applyAlignment="1">
      <alignment horizontal="center" vertical="center" wrapText="1"/>
    </xf>
    <xf numFmtId="0" fontId="15" fillId="2" borderId="47" xfId="3" applyNumberFormat="1" applyFont="1" applyFill="1" applyBorder="1" applyAlignment="1">
      <alignment horizontal="center" vertical="center" wrapText="1"/>
    </xf>
    <xf numFmtId="0" fontId="15" fillId="2" borderId="40" xfId="3" applyNumberFormat="1" applyFont="1" applyFill="1" applyBorder="1" applyAlignment="1">
      <alignment horizontal="center" vertical="center" wrapText="1"/>
    </xf>
    <xf numFmtId="0" fontId="15" fillId="2" borderId="13" xfId="3" applyNumberFormat="1" applyFont="1" applyFill="1" applyBorder="1" applyAlignment="1">
      <alignment horizontal="center" vertical="center" wrapText="1"/>
    </xf>
    <xf numFmtId="0" fontId="15" fillId="2" borderId="15" xfId="3" applyNumberFormat="1" applyFont="1" applyFill="1" applyBorder="1" applyAlignment="1">
      <alignment horizontal="center" vertical="center" wrapText="1"/>
    </xf>
    <xf numFmtId="2" fontId="19" fillId="2" borderId="42" xfId="1" applyNumberFormat="1" applyFont="1" applyFill="1" applyBorder="1" applyAlignment="1">
      <alignment horizontal="center" vertical="center"/>
    </xf>
    <xf numFmtId="2" fontId="19" fillId="2" borderId="4" xfId="1" applyNumberFormat="1" applyFont="1" applyFill="1" applyBorder="1" applyAlignment="1">
      <alignment horizontal="center" vertical="center"/>
    </xf>
    <xf numFmtId="2" fontId="19" fillId="2" borderId="19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Border="1" applyAlignment="1">
      <alignment vertical="center" wrapText="1"/>
    </xf>
    <xf numFmtId="4" fontId="18" fillId="0" borderId="0" xfId="0" applyNumberFormat="1" applyFont="1" applyBorder="1" applyAlignment="1">
      <alignment horizontal="right" vertical="center" wrapText="1"/>
    </xf>
    <xf numFmtId="2" fontId="19" fillId="2" borderId="16" xfId="1" applyNumberFormat="1" applyFont="1" applyFill="1" applyBorder="1" applyAlignment="1">
      <alignment horizontal="center" vertical="center"/>
    </xf>
    <xf numFmtId="2" fontId="19" fillId="2" borderId="7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2" fontId="19" fillId="2" borderId="8" xfId="1" applyNumberFormat="1" applyFont="1" applyFill="1" applyBorder="1" applyAlignment="1">
      <alignment horizontal="center" vertical="center"/>
    </xf>
    <xf numFmtId="4" fontId="15" fillId="2" borderId="7" xfId="2" applyNumberFormat="1" applyFont="1" applyFill="1" applyBorder="1" applyAlignment="1">
      <alignment horizontal="center" vertical="center" wrapText="1"/>
    </xf>
    <xf numFmtId="164" fontId="15" fillId="2" borderId="7" xfId="2" applyNumberFormat="1" applyFont="1" applyFill="1" applyBorder="1" applyAlignment="1">
      <alignment horizontal="center" vertical="center" wrapText="1"/>
    </xf>
    <xf numFmtId="4" fontId="15" fillId="2" borderId="10" xfId="2" applyNumberFormat="1" applyFont="1" applyFill="1" applyBorder="1" applyAlignment="1">
      <alignment horizontal="center" vertical="center" wrapText="1"/>
    </xf>
    <xf numFmtId="2" fontId="19" fillId="2" borderId="21" xfId="1" applyNumberFormat="1" applyFont="1" applyFill="1" applyBorder="1" applyAlignment="1">
      <alignment horizontal="center" vertical="center" wrapText="1"/>
    </xf>
    <xf numFmtId="4" fontId="15" fillId="2" borderId="19" xfId="2" applyNumberFormat="1" applyFont="1" applyFill="1" applyBorder="1" applyAlignment="1">
      <alignment horizontal="center" vertical="center" wrapText="1"/>
    </xf>
    <xf numFmtId="2" fontId="19" fillId="2" borderId="13" xfId="1" applyNumberFormat="1" applyFont="1" applyFill="1" applyBorder="1" applyAlignment="1">
      <alignment horizontal="center" vertical="center" wrapText="1"/>
    </xf>
    <xf numFmtId="2" fontId="19" fillId="2" borderId="46" xfId="1" applyNumberFormat="1" applyFont="1" applyFill="1" applyBorder="1" applyAlignment="1">
      <alignment horizontal="center" vertical="center" wrapText="1"/>
    </xf>
    <xf numFmtId="2" fontId="19" fillId="2" borderId="48" xfId="1" applyNumberFormat="1" applyFont="1" applyFill="1" applyBorder="1" applyAlignment="1">
      <alignment horizontal="center" vertical="center"/>
    </xf>
    <xf numFmtId="2" fontId="15" fillId="2" borderId="13" xfId="1" applyNumberFormat="1" applyFont="1" applyFill="1" applyBorder="1" applyAlignment="1">
      <alignment horizontal="center" vertical="center"/>
    </xf>
    <xf numFmtId="2" fontId="15" fillId="2" borderId="13" xfId="1" applyNumberFormat="1" applyFont="1" applyFill="1" applyBorder="1" applyAlignment="1">
      <alignment horizontal="center" vertical="center" wrapText="1"/>
    </xf>
    <xf numFmtId="2" fontId="15" fillId="2" borderId="14" xfId="1" applyNumberFormat="1" applyFont="1" applyFill="1" applyBorder="1" applyAlignment="1">
      <alignment horizontal="center" vertical="center"/>
    </xf>
    <xf numFmtId="2" fontId="15" fillId="2" borderId="19" xfId="1" applyNumberFormat="1" applyFont="1" applyFill="1" applyBorder="1" applyAlignment="1">
      <alignment horizontal="center" vertical="center" wrapText="1"/>
    </xf>
    <xf numFmtId="2" fontId="15" fillId="2" borderId="1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 wrapText="1"/>
    </xf>
    <xf numFmtId="2" fontId="15" fillId="2" borderId="15" xfId="1" applyNumberFormat="1" applyFont="1" applyFill="1" applyBorder="1" applyAlignment="1">
      <alignment horizontal="center" vertical="center"/>
    </xf>
    <xf numFmtId="0" fontId="5" fillId="2" borderId="15" xfId="1" applyFill="1" applyBorder="1"/>
    <xf numFmtId="164" fontId="15" fillId="2" borderId="15" xfId="2" applyNumberFormat="1" applyFont="1" applyFill="1" applyBorder="1" applyAlignment="1">
      <alignment horizontal="center" vertical="center" wrapText="1"/>
    </xf>
    <xf numFmtId="0" fontId="15" fillId="2" borderId="20" xfId="3" applyNumberFormat="1" applyFont="1" applyFill="1" applyBorder="1" applyAlignment="1">
      <alignment horizontal="center" vertical="center" wrapText="1"/>
    </xf>
    <xf numFmtId="0" fontId="15" fillId="2" borderId="42" xfId="3" applyNumberFormat="1" applyFont="1" applyFill="1" applyBorder="1" applyAlignment="1">
      <alignment horizontal="center" vertical="center" wrapText="1"/>
    </xf>
    <xf numFmtId="2" fontId="19" fillId="2" borderId="18" xfId="1" applyNumberFormat="1" applyFont="1" applyFill="1" applyBorder="1" applyAlignment="1">
      <alignment horizontal="center" vertical="center"/>
    </xf>
    <xf numFmtId="0" fontId="15" fillId="2" borderId="41" xfId="2" applyFont="1" applyFill="1" applyBorder="1" applyAlignment="1">
      <alignment horizontal="center" vertical="center" wrapText="1"/>
    </xf>
    <xf numFmtId="0" fontId="15" fillId="2" borderId="21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5" fillId="2" borderId="29" xfId="3" applyNumberFormat="1" applyFont="1" applyFill="1" applyBorder="1" applyAlignment="1">
      <alignment horizontal="center" vertical="center" wrapText="1"/>
    </xf>
    <xf numFmtId="0" fontId="15" fillId="2" borderId="30" xfId="3" applyNumberFormat="1" applyFont="1" applyFill="1" applyBorder="1" applyAlignment="1">
      <alignment horizontal="center" vertical="center" wrapText="1"/>
    </xf>
    <xf numFmtId="0" fontId="15" fillId="2" borderId="31" xfId="3" applyNumberFormat="1" applyFont="1" applyFill="1" applyBorder="1" applyAlignment="1">
      <alignment horizontal="center" vertical="center" wrapText="1"/>
    </xf>
    <xf numFmtId="0" fontId="15" fillId="2" borderId="32" xfId="3" applyNumberFormat="1" applyFont="1" applyFill="1" applyBorder="1" applyAlignment="1">
      <alignment horizontal="center" vertical="center" wrapText="1"/>
    </xf>
    <xf numFmtId="0" fontId="15" fillId="2" borderId="41" xfId="3" applyNumberFormat="1" applyFont="1" applyFill="1" applyBorder="1" applyAlignment="1">
      <alignment horizontal="center" vertical="center" wrapText="1"/>
    </xf>
    <xf numFmtId="0" fontId="15" fillId="2" borderId="1" xfId="3" applyNumberFormat="1" applyFont="1" applyFill="1" applyBorder="1" applyAlignment="1">
      <alignment horizontal="center" vertical="center" wrapText="1"/>
    </xf>
    <xf numFmtId="0" fontId="15" fillId="2" borderId="17" xfId="3" applyNumberFormat="1" applyFont="1" applyFill="1" applyBorder="1" applyAlignment="1">
      <alignment horizontal="center" vertical="center" wrapText="1"/>
    </xf>
    <xf numFmtId="0" fontId="15" fillId="2" borderId="6" xfId="3" applyNumberFormat="1" applyFont="1" applyFill="1" applyBorder="1" applyAlignment="1">
      <alignment horizontal="center" vertical="center" wrapText="1"/>
    </xf>
    <xf numFmtId="0" fontId="15" fillId="2" borderId="28" xfId="3" applyNumberFormat="1" applyFont="1" applyFill="1" applyBorder="1" applyAlignment="1">
      <alignment horizontal="center" vertical="center" wrapText="1"/>
    </xf>
    <xf numFmtId="0" fontId="15" fillId="2" borderId="25" xfId="3" applyNumberFormat="1" applyFont="1" applyFill="1" applyBorder="1" applyAlignment="1">
      <alignment horizontal="center" vertical="center" wrapText="1"/>
    </xf>
    <xf numFmtId="0" fontId="15" fillId="2" borderId="9" xfId="3" applyNumberFormat="1" applyFont="1" applyFill="1" applyBorder="1" applyAlignment="1">
      <alignment horizontal="center" vertical="center" wrapText="1"/>
    </xf>
    <xf numFmtId="0" fontId="15" fillId="2" borderId="33" xfId="3" applyNumberFormat="1" applyFont="1" applyFill="1" applyBorder="1" applyAlignment="1">
      <alignment horizontal="center" vertical="center" wrapText="1"/>
    </xf>
    <xf numFmtId="0" fontId="15" fillId="2" borderId="34" xfId="3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4" xfId="3" applyNumberFormat="1" applyFont="1" applyFill="1" applyBorder="1" applyAlignment="1">
      <alignment horizontal="center" vertical="center" wrapText="1"/>
    </xf>
    <xf numFmtId="0" fontId="15" fillId="2" borderId="46" xfId="3" applyNumberFormat="1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horizontal="center" vertical="center" wrapText="1"/>
    </xf>
    <xf numFmtId="0" fontId="15" fillId="2" borderId="32" xfId="2" applyFont="1" applyFill="1" applyBorder="1" applyAlignment="1">
      <alignment horizontal="center" vertical="center" wrapText="1"/>
    </xf>
    <xf numFmtId="0" fontId="15" fillId="2" borderId="40" xfId="3" applyNumberFormat="1" applyFont="1" applyFill="1" applyBorder="1" applyAlignment="1">
      <alignment horizontal="center" vertical="center" wrapText="1"/>
    </xf>
    <xf numFmtId="0" fontId="15" fillId="2" borderId="42" xfId="3" applyNumberFormat="1" applyFont="1" applyFill="1" applyBorder="1" applyAlignment="1">
      <alignment horizontal="center" vertical="center" wrapText="1"/>
    </xf>
    <xf numFmtId="2" fontId="19" fillId="2" borderId="4" xfId="1" applyNumberFormat="1" applyFont="1" applyFill="1" applyBorder="1" applyAlignment="1">
      <alignment horizontal="center" vertical="center"/>
    </xf>
    <xf numFmtId="2" fontId="19" fillId="2" borderId="19" xfId="1" applyNumberFormat="1" applyFont="1" applyFill="1" applyBorder="1" applyAlignment="1">
      <alignment horizontal="center" vertical="center"/>
    </xf>
    <xf numFmtId="0" fontId="9" fillId="2" borderId="23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35" xfId="2" applyFont="1" applyFill="1" applyBorder="1" applyAlignment="1">
      <alignment horizontal="center" vertical="center" wrapText="1"/>
    </xf>
    <xf numFmtId="0" fontId="15" fillId="2" borderId="34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3" xfId="3" applyNumberFormat="1" applyFont="1" applyFill="1" applyBorder="1" applyAlignment="1">
      <alignment horizontal="center" vertical="center" wrapText="1"/>
    </xf>
    <xf numFmtId="0" fontId="15" fillId="2" borderId="19" xfId="3" applyNumberFormat="1" applyFont="1" applyFill="1" applyBorder="1" applyAlignment="1">
      <alignment horizontal="center" vertical="center" wrapText="1"/>
    </xf>
    <xf numFmtId="0" fontId="16" fillId="2" borderId="39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5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38" xfId="2" applyFont="1" applyFill="1" applyBorder="1" applyAlignment="1">
      <alignment horizontal="center" vertical="center" wrapText="1"/>
    </xf>
    <xf numFmtId="0" fontId="15" fillId="2" borderId="2" xfId="3" applyNumberFormat="1" applyFont="1" applyFill="1" applyBorder="1" applyAlignment="1">
      <alignment horizontal="center" vertical="center" wrapText="1"/>
    </xf>
    <xf numFmtId="0" fontId="15" fillId="2" borderId="47" xfId="3" applyNumberFormat="1" applyFont="1" applyFill="1" applyBorder="1" applyAlignment="1">
      <alignment horizontal="center" vertical="center" wrapText="1"/>
    </xf>
    <xf numFmtId="0" fontId="15" fillId="2" borderId="13" xfId="3" applyNumberFormat="1" applyFont="1" applyFill="1" applyBorder="1" applyAlignment="1">
      <alignment horizontal="center" vertical="center" wrapText="1"/>
    </xf>
    <xf numFmtId="0" fontId="15" fillId="2" borderId="15" xfId="3" applyNumberFormat="1" applyFont="1" applyFill="1" applyBorder="1" applyAlignment="1">
      <alignment horizontal="center" vertical="center" wrapText="1"/>
    </xf>
    <xf numFmtId="2" fontId="19" fillId="2" borderId="3" xfId="1" applyNumberFormat="1" applyFont="1" applyFill="1" applyBorder="1" applyAlignment="1">
      <alignment horizontal="center" vertical="center"/>
    </xf>
    <xf numFmtId="2" fontId="19" fillId="2" borderId="45" xfId="1" applyNumberFormat="1" applyFont="1" applyFill="1" applyBorder="1" applyAlignment="1">
      <alignment horizontal="center" vertical="center"/>
    </xf>
    <xf numFmtId="2" fontId="19" fillId="2" borderId="42" xfId="1" applyNumberFormat="1" applyFont="1" applyFill="1" applyBorder="1" applyAlignment="1">
      <alignment horizontal="center" vertical="center"/>
    </xf>
    <xf numFmtId="4" fontId="15" fillId="2" borderId="4" xfId="2" applyNumberFormat="1" applyFont="1" applyFill="1" applyBorder="1" applyAlignment="1">
      <alignment horizontal="center" vertical="center" wrapText="1"/>
    </xf>
    <xf numFmtId="4" fontId="15" fillId="2" borderId="46" xfId="2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7" xfId="13"/>
    <cellStyle name="Обычный_Бизнес-план 2005 г. (РВК)1 экспериментальн 2 со 2 квартала_1" xfId="3"/>
    <cellStyle name="Финансовый 2" xfId="12"/>
  </cellStyles>
  <dxfs count="0"/>
  <tableStyles count="0" defaultTableStyle="TableStyleMedium2" defaultPivotStyle="PivotStyleMedium9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</sheetPr>
  <dimension ref="A1:AJ25"/>
  <sheetViews>
    <sheetView view="pageBreakPreview" topLeftCell="A13" zoomScale="80" zoomScaleNormal="89" zoomScaleSheetLayoutView="80" zoomScalePageLayoutView="40" workbookViewId="0">
      <selection activeCell="E21" sqref="E21"/>
    </sheetView>
  </sheetViews>
  <sheetFormatPr defaultColWidth="9.140625" defaultRowHeight="15" x14ac:dyDescent="0.25"/>
  <cols>
    <col min="1" max="1" width="54.42578125" style="8" customWidth="1"/>
    <col min="2" max="2" width="19.85546875" style="8" customWidth="1"/>
    <col min="3" max="3" width="16.42578125" style="8" customWidth="1"/>
    <col min="4" max="4" width="18.28515625" style="8" customWidth="1"/>
    <col min="5" max="5" width="16.42578125" style="8" customWidth="1"/>
    <col min="6" max="6" width="13.42578125" style="8" customWidth="1"/>
    <col min="7" max="7" width="13.5703125" style="8" customWidth="1"/>
    <col min="8" max="8" width="17" style="8" customWidth="1"/>
    <col min="9" max="9" width="10.85546875" style="8" customWidth="1"/>
    <col min="10" max="10" width="12.28515625" style="37" customWidth="1"/>
    <col min="11" max="11" width="18.5703125" style="1" customWidth="1"/>
    <col min="12" max="12" width="14.28515625" style="1" customWidth="1"/>
    <col min="13" max="13" width="10.5703125" style="1" customWidth="1"/>
    <col min="14" max="14" width="11.85546875" style="1" customWidth="1"/>
    <col min="15" max="15" width="12" style="1" bestFit="1" customWidth="1"/>
    <col min="16" max="17" width="10.28515625" style="1" bestFit="1" customWidth="1"/>
    <col min="18" max="18" width="11.28515625" style="1" customWidth="1"/>
    <col min="19" max="19" width="11.5703125" style="1" customWidth="1"/>
    <col min="20" max="16384" width="9.140625" style="1"/>
  </cols>
  <sheetData>
    <row r="1" spans="1:36" x14ac:dyDescent="0.25">
      <c r="F1" s="15"/>
      <c r="G1" s="16"/>
      <c r="H1" s="17"/>
      <c r="I1" s="16"/>
      <c r="J1" s="16"/>
    </row>
    <row r="2" spans="1:36" ht="15.75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36" ht="38.25" customHeight="1" x14ac:dyDescent="0.25">
      <c r="A3" s="134" t="s">
        <v>25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36" ht="15.75" x14ac:dyDescent="0.25">
      <c r="A4" s="135" t="s">
        <v>71</v>
      </c>
      <c r="B4" s="135"/>
      <c r="C4" s="135"/>
      <c r="D4" s="135"/>
      <c r="E4" s="135"/>
      <c r="F4" s="135"/>
      <c r="G4" s="135"/>
      <c r="H4" s="135"/>
      <c r="I4" s="135"/>
      <c r="J4" s="135"/>
      <c r="K4" s="3"/>
    </row>
    <row r="5" spans="1:36" ht="3" customHeight="1" thickBot="1" x14ac:dyDescent="0.3">
      <c r="A5" s="59"/>
      <c r="B5" s="59"/>
      <c r="C5" s="59"/>
      <c r="D5" s="59"/>
      <c r="E5" s="59"/>
      <c r="F5" s="59"/>
      <c r="G5" s="59"/>
      <c r="H5" s="59"/>
      <c r="I5" s="59"/>
      <c r="J5" s="18"/>
      <c r="K5" s="5"/>
    </row>
    <row r="6" spans="1:36" ht="15.75" customHeight="1" x14ac:dyDescent="0.25">
      <c r="A6" s="136" t="s">
        <v>1</v>
      </c>
      <c r="B6" s="138" t="s">
        <v>2</v>
      </c>
      <c r="C6" s="139"/>
      <c r="D6" s="140" t="s">
        <v>3</v>
      </c>
      <c r="E6" s="140" t="s">
        <v>4</v>
      </c>
      <c r="F6" s="142" t="s">
        <v>5</v>
      </c>
      <c r="G6" s="143"/>
      <c r="H6" s="140" t="s">
        <v>6</v>
      </c>
      <c r="I6" s="138" t="s">
        <v>7</v>
      </c>
      <c r="J6" s="144"/>
    </row>
    <row r="7" spans="1:36" ht="68.25" customHeight="1" thickBot="1" x14ac:dyDescent="0.3">
      <c r="A7" s="137"/>
      <c r="B7" s="19" t="s">
        <v>8</v>
      </c>
      <c r="C7" s="19" t="s">
        <v>9</v>
      </c>
      <c r="D7" s="141"/>
      <c r="E7" s="141"/>
      <c r="F7" s="20" t="s">
        <v>10</v>
      </c>
      <c r="G7" s="19" t="s">
        <v>11</v>
      </c>
      <c r="H7" s="141"/>
      <c r="I7" s="20" t="s">
        <v>10</v>
      </c>
      <c r="J7" s="21" t="s">
        <v>11</v>
      </c>
      <c r="K7" s="5"/>
    </row>
    <row r="8" spans="1:36" ht="16.5" thickBot="1" x14ac:dyDescent="0.3">
      <c r="A8" s="145" t="s">
        <v>12</v>
      </c>
      <c r="B8" s="146"/>
      <c r="C8" s="146"/>
      <c r="D8" s="146"/>
      <c r="E8" s="146"/>
      <c r="F8" s="146"/>
      <c r="G8" s="146"/>
      <c r="H8" s="146"/>
      <c r="I8" s="146"/>
      <c r="J8" s="147"/>
      <c r="K8" s="3"/>
    </row>
    <row r="9" spans="1:36" ht="57" customHeight="1" thickBot="1" x14ac:dyDescent="0.3">
      <c r="A9" s="132" t="s">
        <v>24</v>
      </c>
      <c r="B9" s="82" t="s">
        <v>93</v>
      </c>
      <c r="C9" s="95" t="s">
        <v>94</v>
      </c>
      <c r="D9" s="102">
        <f>16907647/1000</f>
        <v>16907.647000000001</v>
      </c>
      <c r="E9" s="102">
        <f>G9</f>
        <v>5534.3462</v>
      </c>
      <c r="F9" s="84" t="s">
        <v>95</v>
      </c>
      <c r="G9" s="102">
        <f>5534346.2/1000</f>
        <v>5534.3462</v>
      </c>
      <c r="H9" s="102"/>
      <c r="I9" s="85"/>
      <c r="J9" s="86"/>
      <c r="K9" s="41"/>
      <c r="L9" s="41"/>
      <c r="M9" s="41"/>
      <c r="N9" s="43"/>
      <c r="O9" s="43"/>
      <c r="P9" s="43"/>
      <c r="Q9" s="41"/>
      <c r="R9" s="41"/>
      <c r="S9" s="41"/>
    </row>
    <row r="10" spans="1:36" s="2" customFormat="1" ht="15.75" thickBot="1" x14ac:dyDescent="0.3">
      <c r="A10" s="10" t="s">
        <v>13</v>
      </c>
      <c r="B10" s="24"/>
      <c r="C10" s="25"/>
      <c r="D10" s="23"/>
      <c r="E10" s="26">
        <f>SUM(E9:E9)</f>
        <v>5534.3462</v>
      </c>
      <c r="F10" s="26"/>
      <c r="G10" s="26">
        <f>SUM(G9:G9)</f>
        <v>5534.3462</v>
      </c>
      <c r="H10" s="26">
        <f>SUM(H9:H9)</f>
        <v>0</v>
      </c>
      <c r="I10" s="26"/>
      <c r="J10" s="27">
        <f>SUM(J9:J9)</f>
        <v>0</v>
      </c>
      <c r="K10" s="8"/>
      <c r="L10" s="8"/>
      <c r="M10" s="8"/>
      <c r="N10" s="8"/>
      <c r="O10" s="8"/>
      <c r="P10" s="8"/>
      <c r="Q10" s="8"/>
      <c r="R10" s="8"/>
      <c r="S10" s="8"/>
    </row>
    <row r="11" spans="1:36" s="2" customFormat="1" ht="27.75" customHeight="1" thickBot="1" x14ac:dyDescent="0.3">
      <c r="A11" s="11" t="s">
        <v>14</v>
      </c>
      <c r="B11" s="28"/>
      <c r="C11" s="28"/>
      <c r="D11" s="28"/>
      <c r="E11" s="26"/>
      <c r="F11" s="23"/>
      <c r="G11" s="26"/>
      <c r="H11" s="26"/>
      <c r="I11" s="23"/>
      <c r="J11" s="27"/>
      <c r="K11" s="8"/>
      <c r="L11" s="8"/>
      <c r="M11" s="8"/>
      <c r="N11" s="8"/>
      <c r="O11" s="8"/>
      <c r="P11" s="8"/>
      <c r="Q11" s="8"/>
      <c r="R11" s="8"/>
      <c r="S11" s="8"/>
    </row>
    <row r="12" spans="1:36" s="2" customFormat="1" ht="33" customHeight="1" thickBot="1" x14ac:dyDescent="0.3">
      <c r="A12" s="11" t="s">
        <v>15</v>
      </c>
      <c r="B12" s="28"/>
      <c r="C12" s="28"/>
      <c r="D12" s="28"/>
      <c r="E12" s="26">
        <f>E10+E11</f>
        <v>5534.3462</v>
      </c>
      <c r="F12" s="23"/>
      <c r="G12" s="26">
        <f>G10+G11</f>
        <v>5534.3462</v>
      </c>
      <c r="H12" s="26">
        <f>H10+H11</f>
        <v>0</v>
      </c>
      <c r="I12" s="23"/>
      <c r="J12" s="27">
        <f>J10+J11</f>
        <v>0</v>
      </c>
      <c r="K12" s="9"/>
      <c r="L12" s="8"/>
      <c r="M12" s="8"/>
      <c r="N12" s="8"/>
      <c r="O12" s="8"/>
      <c r="P12" s="9"/>
      <c r="Q12" s="9"/>
      <c r="R12" s="8"/>
      <c r="S12" s="8"/>
    </row>
    <row r="13" spans="1:36" s="2" customFormat="1" ht="15.75" thickBot="1" x14ac:dyDescent="0.3">
      <c r="A13" s="148" t="s">
        <v>16</v>
      </c>
      <c r="B13" s="149"/>
      <c r="C13" s="149"/>
      <c r="D13" s="149"/>
      <c r="E13" s="149"/>
      <c r="F13" s="149"/>
      <c r="G13" s="149"/>
      <c r="H13" s="149"/>
      <c r="I13" s="149"/>
      <c r="J13" s="150"/>
      <c r="K13" s="8"/>
      <c r="L13" s="9"/>
      <c r="M13" s="8"/>
      <c r="N13" s="8"/>
      <c r="O13" s="8"/>
      <c r="P13" s="9"/>
      <c r="Q13" s="9"/>
      <c r="R13" s="8"/>
      <c r="S13" s="8"/>
    </row>
    <row r="14" spans="1:36" s="6" customFormat="1" ht="7.5" customHeight="1" thickBot="1" x14ac:dyDescent="0.3">
      <c r="A14" s="68"/>
      <c r="B14" s="99"/>
      <c r="C14" s="99"/>
      <c r="D14" s="22"/>
      <c r="E14" s="44"/>
      <c r="F14" s="51"/>
      <c r="G14" s="44"/>
      <c r="H14" s="44"/>
      <c r="I14" s="58"/>
      <c r="J14" s="45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</row>
    <row r="15" spans="1:36" s="7" customFormat="1" ht="15.75" thickBot="1" x14ac:dyDescent="0.3">
      <c r="A15" s="46" t="s">
        <v>17</v>
      </c>
      <c r="B15" s="56"/>
      <c r="C15" s="56"/>
      <c r="D15" s="56"/>
      <c r="E15" s="29">
        <f>SUM(E14:E14)</f>
        <v>0</v>
      </c>
      <c r="F15" s="29"/>
      <c r="G15" s="29">
        <f>SUM(G14:G14)</f>
        <v>0</v>
      </c>
      <c r="H15" s="29">
        <f>SUM(H14:H14)</f>
        <v>0</v>
      </c>
      <c r="I15" s="29"/>
      <c r="J15" s="52">
        <f>SUM(J14:J14)</f>
        <v>0</v>
      </c>
      <c r="K15" s="4"/>
      <c r="L15" s="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ht="30.75" thickBot="1" x14ac:dyDescent="0.3">
      <c r="A16" s="46" t="s">
        <v>18</v>
      </c>
      <c r="B16" s="47"/>
      <c r="C16" s="47"/>
      <c r="D16" s="47"/>
      <c r="E16" s="29"/>
      <c r="F16" s="57"/>
      <c r="G16" s="29"/>
      <c r="H16" s="29"/>
      <c r="I16" s="57"/>
      <c r="J16" s="52"/>
      <c r="N16" s="41"/>
      <c r="O16" s="41"/>
      <c r="P16" s="43"/>
      <c r="Q16" s="41"/>
      <c r="R16" s="41"/>
      <c r="S16" s="41"/>
    </row>
    <row r="17" spans="1:19" ht="30.75" thickBot="1" x14ac:dyDescent="0.3">
      <c r="A17" s="11" t="s">
        <v>19</v>
      </c>
      <c r="B17" s="28"/>
      <c r="C17" s="28"/>
      <c r="D17" s="28"/>
      <c r="E17" s="26">
        <f>E15+E16</f>
        <v>0</v>
      </c>
      <c r="F17" s="23"/>
      <c r="G17" s="26">
        <f>G15+G16</f>
        <v>0</v>
      </c>
      <c r="H17" s="26">
        <f>H15+H16</f>
        <v>0</v>
      </c>
      <c r="I17" s="23"/>
      <c r="J17" s="27"/>
      <c r="M17" s="3"/>
      <c r="N17" s="41"/>
      <c r="O17" s="41"/>
      <c r="P17" s="41"/>
      <c r="Q17" s="43"/>
      <c r="R17" s="41"/>
      <c r="S17" s="41"/>
    </row>
    <row r="18" spans="1:19" ht="45.75" customHeight="1" thickBot="1" x14ac:dyDescent="0.3">
      <c r="A18" s="11" t="s">
        <v>20</v>
      </c>
      <c r="B18" s="28"/>
      <c r="C18" s="28"/>
      <c r="D18" s="28"/>
      <c r="E18" s="26">
        <f>E12+E17</f>
        <v>5534.3462</v>
      </c>
      <c r="F18" s="26"/>
      <c r="G18" s="26">
        <f>G12+G17</f>
        <v>5534.3462</v>
      </c>
      <c r="H18" s="26">
        <f>H12+H17</f>
        <v>0</v>
      </c>
      <c r="I18" s="23"/>
      <c r="J18" s="27">
        <f>J12+J17</f>
        <v>0</v>
      </c>
      <c r="N18" s="41"/>
      <c r="O18" s="41"/>
      <c r="P18" s="41"/>
      <c r="Q18" s="43"/>
      <c r="R18" s="41"/>
      <c r="S18" s="41"/>
    </row>
    <row r="19" spans="1:19" x14ac:dyDescent="0.25">
      <c r="A19" s="12"/>
      <c r="B19" s="12"/>
      <c r="C19" s="12"/>
      <c r="D19" s="12"/>
      <c r="E19" s="30"/>
      <c r="F19" s="31"/>
      <c r="G19" s="30"/>
      <c r="H19" s="32"/>
      <c r="I19" s="31"/>
      <c r="J19" s="30"/>
      <c r="N19" s="41"/>
      <c r="O19" s="41"/>
      <c r="P19" s="41"/>
      <c r="Q19" s="41"/>
      <c r="R19" s="41"/>
      <c r="S19" s="41"/>
    </row>
    <row r="20" spans="1:19" ht="36" customHeight="1" x14ac:dyDescent="0.25">
      <c r="A20" s="104"/>
      <c r="B20" s="105"/>
      <c r="C20" s="105"/>
    </row>
    <row r="21" spans="1:19" ht="36.75" customHeight="1" x14ac:dyDescent="0.3">
      <c r="A21" s="61" t="s">
        <v>21</v>
      </c>
      <c r="B21" s="62"/>
      <c r="C21" s="62"/>
      <c r="D21" s="62"/>
      <c r="E21" s="63" t="s">
        <v>23</v>
      </c>
      <c r="F21" s="34"/>
    </row>
    <row r="22" spans="1:19" ht="18.75" x14ac:dyDescent="0.3">
      <c r="A22" s="61"/>
      <c r="B22" s="64"/>
      <c r="C22" s="64"/>
      <c r="D22" s="62"/>
      <c r="E22" s="62"/>
      <c r="F22" s="34"/>
    </row>
    <row r="23" spans="1:19" ht="18.75" x14ac:dyDescent="0.3">
      <c r="A23" s="61"/>
      <c r="B23" s="64"/>
      <c r="C23" s="64"/>
      <c r="D23" s="62"/>
      <c r="E23" s="62"/>
      <c r="F23" s="34"/>
    </row>
    <row r="24" spans="1:19" ht="18.75" x14ac:dyDescent="0.3">
      <c r="A24" s="65"/>
      <c r="B24" s="66"/>
      <c r="C24" s="66"/>
      <c r="D24" s="67"/>
      <c r="E24" s="67"/>
      <c r="F24" s="34"/>
    </row>
    <row r="25" spans="1:19" ht="18.75" x14ac:dyDescent="0.3">
      <c r="A25" s="65" t="s">
        <v>42</v>
      </c>
      <c r="B25" s="66"/>
      <c r="C25" s="66"/>
      <c r="D25" s="67"/>
      <c r="E25" s="66" t="s">
        <v>22</v>
      </c>
      <c r="F25" s="34"/>
    </row>
  </sheetData>
  <mergeCells count="12">
    <mergeCell ref="A8:J8"/>
    <mergeCell ref="A13:J13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</mergeCells>
  <pageMargins left="0.51181102362204722" right="0.19685039370078741" top="0.55118110236220474" bottom="0.35433070866141736" header="0.31496062992125984" footer="0.31496062992125984"/>
  <pageSetup paperSize="9" scale="50" fitToHeight="0" orientation="portrait" r:id="rId1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8"/>
  <sheetViews>
    <sheetView tabSelected="1" view="pageBreakPreview" topLeftCell="A109" zoomScale="80" zoomScaleNormal="90" zoomScaleSheetLayoutView="80" workbookViewId="0">
      <selection activeCell="A121" sqref="A121"/>
    </sheetView>
  </sheetViews>
  <sheetFormatPr defaultRowHeight="15" x14ac:dyDescent="0.25"/>
  <cols>
    <col min="1" max="1" width="54.28515625" customWidth="1"/>
    <col min="2" max="2" width="27.5703125" customWidth="1"/>
    <col min="3" max="3" width="23.42578125" customWidth="1"/>
    <col min="4" max="4" width="17.5703125" customWidth="1"/>
    <col min="5" max="5" width="17.28515625" customWidth="1"/>
    <col min="6" max="6" width="13.5703125" customWidth="1"/>
    <col min="7" max="7" width="16.28515625" customWidth="1"/>
    <col min="8" max="8" width="18" customWidth="1"/>
    <col min="9" max="9" width="14" customWidth="1"/>
    <col min="10" max="10" width="15.7109375" customWidth="1"/>
    <col min="12" max="12" width="18.28515625" customWidth="1"/>
    <col min="14" max="14" width="15.140625" customWidth="1"/>
  </cols>
  <sheetData>
    <row r="2" spans="1:20" ht="15.75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20" ht="38.25" customHeight="1" x14ac:dyDescent="0.25">
      <c r="A3" s="134" t="s">
        <v>38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20" ht="15.75" x14ac:dyDescent="0.25">
      <c r="A4" s="135" t="s">
        <v>71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20" ht="16.5" thickBot="1" x14ac:dyDescent="0.3">
      <c r="A5" s="48"/>
      <c r="B5" s="48"/>
      <c r="C5" s="48"/>
      <c r="D5" s="48"/>
      <c r="E5" s="48"/>
      <c r="F5" s="48"/>
      <c r="G5" s="48"/>
      <c r="H5" s="48"/>
      <c r="I5" s="48"/>
      <c r="J5" s="18"/>
    </row>
    <row r="6" spans="1:20" ht="15.75" x14ac:dyDescent="0.25">
      <c r="A6" s="136" t="s">
        <v>1</v>
      </c>
      <c r="B6" s="138" t="s">
        <v>2</v>
      </c>
      <c r="C6" s="139"/>
      <c r="D6" s="140" t="s">
        <v>3</v>
      </c>
      <c r="E6" s="140" t="s">
        <v>4</v>
      </c>
      <c r="F6" s="142" t="s">
        <v>5</v>
      </c>
      <c r="G6" s="143"/>
      <c r="H6" s="140" t="s">
        <v>6</v>
      </c>
      <c r="I6" s="138" t="s">
        <v>7</v>
      </c>
      <c r="J6" s="144"/>
    </row>
    <row r="7" spans="1:20" ht="32.25" thickBot="1" x14ac:dyDescent="0.3">
      <c r="A7" s="137"/>
      <c r="B7" s="19" t="s">
        <v>8</v>
      </c>
      <c r="C7" s="19" t="s">
        <v>9</v>
      </c>
      <c r="D7" s="141"/>
      <c r="E7" s="141"/>
      <c r="F7" s="20" t="s">
        <v>10</v>
      </c>
      <c r="G7" s="19" t="s">
        <v>11</v>
      </c>
      <c r="H7" s="141"/>
      <c r="I7" s="20" t="s">
        <v>10</v>
      </c>
      <c r="J7" s="21" t="s">
        <v>11</v>
      </c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6.5" thickBot="1" x14ac:dyDescent="0.3">
      <c r="A8" s="180" t="s">
        <v>12</v>
      </c>
      <c r="B8" s="181"/>
      <c r="C8" s="181"/>
      <c r="D8" s="181"/>
      <c r="E8" s="181"/>
      <c r="F8" s="181"/>
      <c r="G8" s="181"/>
      <c r="H8" s="181"/>
      <c r="I8" s="181"/>
      <c r="J8" s="182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38.25" customHeight="1" x14ac:dyDescent="0.25">
      <c r="A9" s="151" t="s">
        <v>49</v>
      </c>
      <c r="B9" s="154" t="s">
        <v>28</v>
      </c>
      <c r="C9" s="154"/>
      <c r="D9" s="155"/>
      <c r="E9" s="101">
        <f>G9</f>
        <v>15.225043992606301</v>
      </c>
      <c r="F9" s="49"/>
      <c r="G9" s="49">
        <v>15.225043992606301</v>
      </c>
      <c r="H9" s="101">
        <f>J9</f>
        <v>67.026479999999992</v>
      </c>
      <c r="I9" s="49"/>
      <c r="J9" s="71">
        <v>67.026479999999992</v>
      </c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37.5" customHeight="1" x14ac:dyDescent="0.25">
      <c r="A10" s="152"/>
      <c r="B10" s="156" t="s">
        <v>33</v>
      </c>
      <c r="C10" s="156"/>
      <c r="D10" s="157"/>
      <c r="E10" s="22">
        <f t="shared" ref="E10:E17" si="0">G10</f>
        <v>56.709023486800604</v>
      </c>
      <c r="F10" s="22"/>
      <c r="G10" s="22">
        <v>56.709023486800604</v>
      </c>
      <c r="H10" s="22">
        <f t="shared" ref="H10:H17" si="1">J10</f>
        <v>12.120419999999999</v>
      </c>
      <c r="I10" s="22"/>
      <c r="J10" s="106">
        <v>12.120419999999999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34.5" customHeight="1" thickBot="1" x14ac:dyDescent="0.3">
      <c r="A11" s="153"/>
      <c r="B11" s="165" t="s">
        <v>34</v>
      </c>
      <c r="C11" s="165"/>
      <c r="D11" s="166"/>
      <c r="E11" s="102">
        <f t="shared" si="0"/>
        <v>16.120225076313702</v>
      </c>
      <c r="F11" s="107"/>
      <c r="G11" s="107">
        <v>16.120225076313702</v>
      </c>
      <c r="H11" s="102">
        <f t="shared" si="1"/>
        <v>27.195349999999998</v>
      </c>
      <c r="I11" s="107"/>
      <c r="J11" s="108">
        <v>27.195349999999998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36.75" customHeight="1" x14ac:dyDescent="0.25">
      <c r="A12" s="151" t="s">
        <v>50</v>
      </c>
      <c r="B12" s="154" t="s">
        <v>28</v>
      </c>
      <c r="C12" s="154"/>
      <c r="D12" s="155"/>
      <c r="E12" s="101">
        <f t="shared" si="0"/>
        <v>30.450090942698697</v>
      </c>
      <c r="F12" s="49"/>
      <c r="G12" s="49">
        <v>30.450090942698697</v>
      </c>
      <c r="H12" s="101">
        <f t="shared" si="1"/>
        <v>134.05313000000001</v>
      </c>
      <c r="I12" s="49"/>
      <c r="J12" s="71">
        <v>134.05313000000001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38.25" customHeight="1" x14ac:dyDescent="0.25">
      <c r="A13" s="152"/>
      <c r="B13" s="156" t="s">
        <v>33</v>
      </c>
      <c r="C13" s="156"/>
      <c r="D13" s="157"/>
      <c r="E13" s="22">
        <f t="shared" si="0"/>
        <v>114.757717146263</v>
      </c>
      <c r="F13" s="22"/>
      <c r="G13" s="22">
        <v>114.757717146263</v>
      </c>
      <c r="H13" s="22">
        <f t="shared" si="1"/>
        <v>27.549049999999994</v>
      </c>
      <c r="I13" s="22"/>
      <c r="J13" s="106">
        <v>27.549049999999994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41.25" customHeight="1" thickBot="1" x14ac:dyDescent="0.3">
      <c r="A14" s="153"/>
      <c r="B14" s="165" t="s">
        <v>34</v>
      </c>
      <c r="C14" s="165"/>
      <c r="D14" s="166"/>
      <c r="E14" s="109">
        <f t="shared" si="0"/>
        <v>30.928798196327598</v>
      </c>
      <c r="F14" s="107"/>
      <c r="G14" s="107">
        <v>30.928798196327598</v>
      </c>
      <c r="H14" s="109">
        <f t="shared" si="1"/>
        <v>44.375419999999998</v>
      </c>
      <c r="I14" s="107"/>
      <c r="J14" s="108">
        <v>44.375419999999998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34.5" customHeight="1" x14ac:dyDescent="0.25">
      <c r="A15" s="167" t="s">
        <v>51</v>
      </c>
      <c r="B15" s="154" t="s">
        <v>28</v>
      </c>
      <c r="C15" s="154"/>
      <c r="D15" s="155"/>
      <c r="E15" s="101">
        <f t="shared" si="0"/>
        <v>8.8067282809611811</v>
      </c>
      <c r="F15" s="49"/>
      <c r="G15" s="49">
        <v>8.8067282809611811</v>
      </c>
      <c r="H15" s="101">
        <f t="shared" si="1"/>
        <v>38.770589999999999</v>
      </c>
      <c r="I15" s="49"/>
      <c r="J15" s="71">
        <v>38.770589999999999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34.5" customHeight="1" x14ac:dyDescent="0.25">
      <c r="A16" s="168"/>
      <c r="B16" s="156" t="s">
        <v>33</v>
      </c>
      <c r="C16" s="156"/>
      <c r="D16" s="157"/>
      <c r="E16" s="22">
        <f t="shared" si="0"/>
        <v>36.909959906847696</v>
      </c>
      <c r="F16" s="22"/>
      <c r="G16" s="22">
        <v>36.909959906847696</v>
      </c>
      <c r="H16" s="22">
        <f t="shared" si="1"/>
        <v>17.154959999999999</v>
      </c>
      <c r="I16" s="22"/>
      <c r="J16" s="106">
        <v>17.154959999999999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34.5" customHeight="1" thickBot="1" x14ac:dyDescent="0.3">
      <c r="A17" s="169"/>
      <c r="B17" s="165" t="s">
        <v>34</v>
      </c>
      <c r="C17" s="165"/>
      <c r="D17" s="166"/>
      <c r="E17" s="109">
        <f t="shared" si="0"/>
        <v>23.1836243381941</v>
      </c>
      <c r="F17" s="107"/>
      <c r="G17" s="107">
        <v>23.1836243381941</v>
      </c>
      <c r="H17" s="109">
        <f t="shared" si="1"/>
        <v>39.613589999999995</v>
      </c>
      <c r="I17" s="107"/>
      <c r="J17" s="108">
        <v>39.613589999999995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45" customHeight="1" x14ac:dyDescent="0.25">
      <c r="A18" s="168" t="s">
        <v>31</v>
      </c>
      <c r="B18" s="70" t="s">
        <v>46</v>
      </c>
      <c r="C18" s="95" t="s">
        <v>47</v>
      </c>
      <c r="D18" s="100">
        <v>4250</v>
      </c>
      <c r="E18" s="102"/>
      <c r="F18" s="102"/>
      <c r="G18" s="102"/>
      <c r="H18" s="102">
        <f>J18</f>
        <v>89.208528000000001</v>
      </c>
      <c r="I18" s="78" t="s">
        <v>123</v>
      </c>
      <c r="J18" s="129">
        <f>74340.44*1.2/1000</f>
        <v>89.208528000000001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33.75" customHeight="1" thickBot="1" x14ac:dyDescent="0.3">
      <c r="A19" s="169"/>
      <c r="B19" s="186" t="s">
        <v>73</v>
      </c>
      <c r="C19" s="187"/>
      <c r="D19" s="187"/>
      <c r="E19" s="83"/>
      <c r="F19" s="83"/>
      <c r="G19" s="83"/>
      <c r="H19" s="110">
        <f t="shared" ref="H19" si="2">J19</f>
        <v>6.8365080000000003</v>
      </c>
      <c r="I19" s="111" t="s">
        <v>72</v>
      </c>
      <c r="J19" s="112">
        <f>5697.09*1.2/1000</f>
        <v>6.8365080000000003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71.25" customHeight="1" thickBot="1" x14ac:dyDescent="0.3">
      <c r="A20" s="94" t="s">
        <v>108</v>
      </c>
      <c r="B20" s="130" t="s">
        <v>109</v>
      </c>
      <c r="C20" s="131" t="s">
        <v>110</v>
      </c>
      <c r="D20" s="88">
        <f>237492.5/1000</f>
        <v>237.49250000000001</v>
      </c>
      <c r="E20" s="72">
        <f>G20</f>
        <v>237.49250000000001</v>
      </c>
      <c r="F20" s="113" t="s">
        <v>116</v>
      </c>
      <c r="G20" s="72">
        <f>237492.5/1000</f>
        <v>237.49250000000001</v>
      </c>
      <c r="H20" s="114">
        <f>J20</f>
        <v>237.49250400000003</v>
      </c>
      <c r="I20" s="85" t="s">
        <v>128</v>
      </c>
      <c r="J20" s="86">
        <f>197910.42*1.2/1000</f>
        <v>237.49250400000003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42" customHeight="1" x14ac:dyDescent="0.25">
      <c r="A21" s="151" t="s">
        <v>52</v>
      </c>
      <c r="B21" s="154" t="s">
        <v>28</v>
      </c>
      <c r="C21" s="158"/>
      <c r="D21" s="155"/>
      <c r="E21" s="49">
        <f t="shared" ref="E21:E43" si="3">G21</f>
        <v>10.175792975970401</v>
      </c>
      <c r="F21" s="49"/>
      <c r="G21" s="102">
        <v>10.175792975970401</v>
      </c>
      <c r="H21" s="49">
        <f t="shared" ref="H21:H43" si="4">J21</f>
        <v>44.797719999999998</v>
      </c>
      <c r="I21" s="49"/>
      <c r="J21" s="71">
        <v>44.797719999999998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42" customHeight="1" thickBot="1" x14ac:dyDescent="0.3">
      <c r="A22" s="153"/>
      <c r="B22" s="156" t="s">
        <v>33</v>
      </c>
      <c r="C22" s="156"/>
      <c r="D22" s="157"/>
      <c r="E22" s="22">
        <f t="shared" si="3"/>
        <v>34.621927024029603</v>
      </c>
      <c r="F22" s="22"/>
      <c r="G22" s="22">
        <v>34.621927024029603</v>
      </c>
      <c r="H22" s="22"/>
      <c r="I22" s="22"/>
      <c r="J22" s="106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31.5" customHeight="1" x14ac:dyDescent="0.25">
      <c r="A23" s="151" t="s">
        <v>53</v>
      </c>
      <c r="B23" s="154" t="s">
        <v>28</v>
      </c>
      <c r="C23" s="154"/>
      <c r="D23" s="155"/>
      <c r="E23" s="49">
        <f t="shared" si="3"/>
        <v>10.068495378927901</v>
      </c>
      <c r="F23" s="49"/>
      <c r="G23" s="49">
        <v>10.068495378927901</v>
      </c>
      <c r="H23" s="49">
        <f t="shared" si="4"/>
        <v>44.325309999999995</v>
      </c>
      <c r="I23" s="49"/>
      <c r="J23" s="71">
        <v>44.325309999999995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30" customHeight="1" x14ac:dyDescent="0.25">
      <c r="A24" s="152"/>
      <c r="B24" s="156" t="s">
        <v>33</v>
      </c>
      <c r="C24" s="156"/>
      <c r="D24" s="157"/>
      <c r="E24" s="22">
        <f t="shared" si="3"/>
        <v>70.798010008222008</v>
      </c>
      <c r="F24" s="22"/>
      <c r="G24" s="22">
        <v>70.798010008222008</v>
      </c>
      <c r="H24" s="22">
        <f t="shared" si="4"/>
        <v>90.246870000000001</v>
      </c>
      <c r="I24" s="22"/>
      <c r="J24" s="106">
        <v>90.246870000000001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31.5" customHeight="1" thickBot="1" x14ac:dyDescent="0.3">
      <c r="A25" s="153"/>
      <c r="B25" s="165" t="s">
        <v>34</v>
      </c>
      <c r="C25" s="165"/>
      <c r="D25" s="166"/>
      <c r="E25" s="107">
        <f t="shared" si="3"/>
        <v>74.430999999999997</v>
      </c>
      <c r="F25" s="107"/>
      <c r="G25" s="107">
        <v>74.430999999999997</v>
      </c>
      <c r="H25" s="107">
        <f t="shared" si="4"/>
        <v>63.277610000000003</v>
      </c>
      <c r="I25" s="107"/>
      <c r="J25" s="108">
        <v>63.277610000000003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29.25" customHeight="1" x14ac:dyDescent="0.25">
      <c r="A26" s="151" t="s">
        <v>54</v>
      </c>
      <c r="B26" s="154" t="s">
        <v>28</v>
      </c>
      <c r="C26" s="154"/>
      <c r="D26" s="155"/>
      <c r="E26" s="49">
        <f t="shared" si="3"/>
        <v>1.69219075785582</v>
      </c>
      <c r="F26" s="49"/>
      <c r="G26" s="49">
        <v>1.69219075785582</v>
      </c>
      <c r="H26" s="49">
        <f t="shared" si="4"/>
        <v>7.4496399999999996</v>
      </c>
      <c r="I26" s="49"/>
      <c r="J26" s="71">
        <v>7.4496399999999996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31.5" customHeight="1" x14ac:dyDescent="0.25">
      <c r="A27" s="152"/>
      <c r="B27" s="156" t="s">
        <v>33</v>
      </c>
      <c r="C27" s="156"/>
      <c r="D27" s="157"/>
      <c r="E27" s="22">
        <f t="shared" si="3"/>
        <v>8.3425578747636102</v>
      </c>
      <c r="F27" s="22"/>
      <c r="G27" s="22">
        <v>8.3425578747636102</v>
      </c>
      <c r="H27" s="22">
        <f t="shared" si="4"/>
        <v>6.3844899999999996</v>
      </c>
      <c r="I27" s="22"/>
      <c r="J27" s="106">
        <v>6.3844899999999996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24.75" customHeight="1" thickBot="1" x14ac:dyDescent="0.3">
      <c r="A28" s="153"/>
      <c r="B28" s="165" t="s">
        <v>34</v>
      </c>
      <c r="C28" s="165"/>
      <c r="D28" s="166"/>
      <c r="E28" s="107">
        <f t="shared" si="3"/>
        <v>8.10798353677135</v>
      </c>
      <c r="F28" s="107"/>
      <c r="G28" s="107">
        <v>8.10798353677135</v>
      </c>
      <c r="H28" s="107">
        <f t="shared" si="4"/>
        <v>13.154620000000001</v>
      </c>
      <c r="I28" s="107"/>
      <c r="J28" s="108">
        <v>13.154620000000001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24.75" customHeight="1" x14ac:dyDescent="0.25">
      <c r="A29" s="151" t="s">
        <v>55</v>
      </c>
      <c r="B29" s="154" t="s">
        <v>28</v>
      </c>
      <c r="C29" s="154"/>
      <c r="D29" s="155"/>
      <c r="E29" s="49">
        <f t="shared" si="3"/>
        <v>10.286817005545299</v>
      </c>
      <c r="F29" s="49"/>
      <c r="G29" s="49">
        <v>10.286817005545299</v>
      </c>
      <c r="H29" s="49">
        <f t="shared" si="4"/>
        <v>45.286480000000005</v>
      </c>
      <c r="I29" s="49"/>
      <c r="J29" s="71">
        <v>45.286480000000005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24.75" customHeight="1" x14ac:dyDescent="0.25">
      <c r="A30" s="152"/>
      <c r="B30" s="156" t="s">
        <v>33</v>
      </c>
      <c r="C30" s="156"/>
      <c r="D30" s="157"/>
      <c r="E30" s="22">
        <f t="shared" si="3"/>
        <v>71.722973702856706</v>
      </c>
      <c r="F30" s="22"/>
      <c r="G30" s="22">
        <v>71.722973702856706</v>
      </c>
      <c r="H30" s="22">
        <f t="shared" si="4"/>
        <v>90.696619999999996</v>
      </c>
      <c r="I30" s="22"/>
      <c r="J30" s="106">
        <v>90.696619999999996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24.75" customHeight="1" thickBot="1" x14ac:dyDescent="0.3">
      <c r="A31" s="153"/>
      <c r="B31" s="165" t="s">
        <v>34</v>
      </c>
      <c r="C31" s="165"/>
      <c r="D31" s="166"/>
      <c r="E31" s="107">
        <f t="shared" si="3"/>
        <v>85.848936572430105</v>
      </c>
      <c r="F31" s="107"/>
      <c r="G31" s="107">
        <v>85.848936572430105</v>
      </c>
      <c r="H31" s="107">
        <f t="shared" si="4"/>
        <v>97.320220000000006</v>
      </c>
      <c r="I31" s="107"/>
      <c r="J31" s="108">
        <v>97.320220000000006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24.75" customHeight="1" x14ac:dyDescent="0.25">
      <c r="A32" s="151" t="s">
        <v>56</v>
      </c>
      <c r="B32" s="154" t="s">
        <v>28</v>
      </c>
      <c r="C32" s="154"/>
      <c r="D32" s="155"/>
      <c r="E32" s="49">
        <f t="shared" si="3"/>
        <v>4.9567822550831799</v>
      </c>
      <c r="F32" s="49"/>
      <c r="G32" s="49">
        <v>4.9567822550831799</v>
      </c>
      <c r="H32" s="49">
        <f t="shared" si="4"/>
        <v>21.821680000000001</v>
      </c>
      <c r="I32" s="49"/>
      <c r="J32" s="71">
        <v>21.821680000000001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24.75" customHeight="1" x14ac:dyDescent="0.25">
      <c r="A33" s="152"/>
      <c r="B33" s="156" t="s">
        <v>33</v>
      </c>
      <c r="C33" s="156"/>
      <c r="D33" s="157"/>
      <c r="E33" s="22">
        <f t="shared" si="3"/>
        <v>39.809851945905301</v>
      </c>
      <c r="F33" s="22"/>
      <c r="G33" s="22">
        <v>39.809851945905301</v>
      </c>
      <c r="H33" s="22">
        <f t="shared" si="4"/>
        <v>56.667769999999997</v>
      </c>
      <c r="I33" s="22"/>
      <c r="J33" s="106">
        <v>56.667769999999997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24.75" customHeight="1" thickBot="1" x14ac:dyDescent="0.3">
      <c r="A34" s="153"/>
      <c r="B34" s="165" t="s">
        <v>34</v>
      </c>
      <c r="C34" s="165"/>
      <c r="D34" s="166"/>
      <c r="E34" s="107">
        <f t="shared" si="3"/>
        <v>52.9663619654306</v>
      </c>
      <c r="F34" s="107"/>
      <c r="G34" s="107">
        <v>52.9663619654306</v>
      </c>
      <c r="H34" s="107">
        <f t="shared" si="4"/>
        <v>58.752870000000001</v>
      </c>
      <c r="I34" s="107"/>
      <c r="J34" s="108">
        <v>58.752870000000001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24.75" customHeight="1" x14ac:dyDescent="0.25">
      <c r="A35" s="151" t="s">
        <v>57</v>
      </c>
      <c r="B35" s="154" t="s">
        <v>28</v>
      </c>
      <c r="C35" s="154"/>
      <c r="D35" s="155"/>
      <c r="E35" s="49">
        <f t="shared" si="3"/>
        <v>0.98794824399260595</v>
      </c>
      <c r="F35" s="49"/>
      <c r="G35" s="49">
        <v>0.98794824399260595</v>
      </c>
      <c r="H35" s="49">
        <f t="shared" si="4"/>
        <v>4.3493300000000001</v>
      </c>
      <c r="I35" s="49"/>
      <c r="J35" s="71">
        <v>4.3493300000000001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24.75" customHeight="1" x14ac:dyDescent="0.25">
      <c r="A36" s="152"/>
      <c r="B36" s="156" t="s">
        <v>33</v>
      </c>
      <c r="C36" s="156"/>
      <c r="D36" s="157"/>
      <c r="E36" s="22">
        <f t="shared" si="3"/>
        <v>9.2671056439810311</v>
      </c>
      <c r="F36" s="22"/>
      <c r="G36" s="22">
        <v>9.2671056439810311</v>
      </c>
      <c r="H36" s="22">
        <f t="shared" si="4"/>
        <v>14.58553</v>
      </c>
      <c r="I36" s="22"/>
      <c r="J36" s="106">
        <v>14.58553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24.75" customHeight="1" thickBot="1" x14ac:dyDescent="0.3">
      <c r="A37" s="153"/>
      <c r="B37" s="165" t="s">
        <v>34</v>
      </c>
      <c r="C37" s="165"/>
      <c r="D37" s="166"/>
      <c r="E37" s="107">
        <f t="shared" si="3"/>
        <v>8.679806112026359</v>
      </c>
      <c r="F37" s="107"/>
      <c r="G37" s="107">
        <v>8.679806112026359</v>
      </c>
      <c r="H37" s="107"/>
      <c r="I37" s="107"/>
      <c r="J37" s="108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24.75" customHeight="1" x14ac:dyDescent="0.25">
      <c r="A38" s="151" t="s">
        <v>58</v>
      </c>
      <c r="B38" s="154" t="s">
        <v>28</v>
      </c>
      <c r="C38" s="154"/>
      <c r="D38" s="155"/>
      <c r="E38" s="49">
        <f t="shared" si="3"/>
        <v>0.76701811460258795</v>
      </c>
      <c r="F38" s="49"/>
      <c r="G38" s="49">
        <v>0.76701811460258795</v>
      </c>
      <c r="H38" s="49">
        <f t="shared" si="4"/>
        <v>3.3767</v>
      </c>
      <c r="I38" s="49"/>
      <c r="J38" s="71">
        <v>3.3767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24.75" customHeight="1" x14ac:dyDescent="0.25">
      <c r="A39" s="152"/>
      <c r="B39" s="156" t="s">
        <v>33</v>
      </c>
      <c r="C39" s="156"/>
      <c r="D39" s="157"/>
      <c r="E39" s="22">
        <f t="shared" si="3"/>
        <v>38.840856844211302</v>
      </c>
      <c r="F39" s="22"/>
      <c r="G39" s="22">
        <v>38.840856844211302</v>
      </c>
      <c r="H39" s="22">
        <f t="shared" si="4"/>
        <v>89.48124</v>
      </c>
      <c r="I39" s="22"/>
      <c r="J39" s="106">
        <v>89.48124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24.75" customHeight="1" thickBot="1" x14ac:dyDescent="0.3">
      <c r="A40" s="153"/>
      <c r="B40" s="165" t="s">
        <v>34</v>
      </c>
      <c r="C40" s="165"/>
      <c r="D40" s="166"/>
      <c r="E40" s="107">
        <f t="shared" si="3"/>
        <v>85.789545070903799</v>
      </c>
      <c r="F40" s="107"/>
      <c r="G40" s="107">
        <v>85.789545070903799</v>
      </c>
      <c r="H40" s="107">
        <f t="shared" si="4"/>
        <v>99.347009999999997</v>
      </c>
      <c r="I40" s="107"/>
      <c r="J40" s="108">
        <v>99.347009999999997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24.75" customHeight="1" x14ac:dyDescent="0.25">
      <c r="A41" s="151" t="s">
        <v>59</v>
      </c>
      <c r="B41" s="154" t="s">
        <v>28</v>
      </c>
      <c r="C41" s="154"/>
      <c r="D41" s="155"/>
      <c r="E41" s="49">
        <f t="shared" si="3"/>
        <v>9.92358743068392</v>
      </c>
      <c r="F41" s="49"/>
      <c r="G41" s="49">
        <v>9.92358743068392</v>
      </c>
      <c r="H41" s="49">
        <f t="shared" si="4"/>
        <v>43.687470000000005</v>
      </c>
      <c r="I41" s="49"/>
      <c r="J41" s="71">
        <v>43.687470000000005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24.75" customHeight="1" x14ac:dyDescent="0.25">
      <c r="A42" s="152"/>
      <c r="B42" s="156" t="s">
        <v>33</v>
      </c>
      <c r="C42" s="156"/>
      <c r="D42" s="157"/>
      <c r="E42" s="22">
        <f t="shared" si="3"/>
        <v>60.890630510008002</v>
      </c>
      <c r="F42" s="22"/>
      <c r="G42" s="22">
        <v>60.890630510008002</v>
      </c>
      <c r="H42" s="22">
        <f t="shared" si="4"/>
        <v>66.995739999999998</v>
      </c>
      <c r="I42" s="22"/>
      <c r="J42" s="106">
        <v>66.995739999999998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24.75" customHeight="1" thickBot="1" x14ac:dyDescent="0.3">
      <c r="A43" s="153"/>
      <c r="B43" s="165" t="s">
        <v>34</v>
      </c>
      <c r="C43" s="165"/>
      <c r="D43" s="166"/>
      <c r="E43" s="107">
        <f t="shared" si="3"/>
        <v>70.573578314880095</v>
      </c>
      <c r="F43" s="107"/>
      <c r="G43" s="107">
        <v>70.573578314880095</v>
      </c>
      <c r="H43" s="107">
        <f t="shared" si="4"/>
        <v>93.744869999999992</v>
      </c>
      <c r="I43" s="107"/>
      <c r="J43" s="108">
        <v>93.744869999999992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47.25" customHeight="1" x14ac:dyDescent="0.25">
      <c r="A44" s="151" t="s">
        <v>32</v>
      </c>
      <c r="B44" s="188" t="s">
        <v>74</v>
      </c>
      <c r="C44" s="170" t="s">
        <v>75</v>
      </c>
      <c r="D44" s="178">
        <f>2969874/1000</f>
        <v>2969.8739999999998</v>
      </c>
      <c r="E44" s="49">
        <f>G44</f>
        <v>576.255</v>
      </c>
      <c r="F44" s="115" t="s">
        <v>76</v>
      </c>
      <c r="G44" s="49">
        <f>576255/1000</f>
        <v>576.255</v>
      </c>
      <c r="H44" s="49"/>
      <c r="I44" s="49"/>
      <c r="J44" s="71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47.25" customHeight="1" x14ac:dyDescent="0.25">
      <c r="A45" s="152"/>
      <c r="B45" s="177"/>
      <c r="C45" s="189"/>
      <c r="D45" s="179"/>
      <c r="E45" s="102">
        <f>G45</f>
        <v>576.255</v>
      </c>
      <c r="F45" s="84" t="s">
        <v>97</v>
      </c>
      <c r="G45" s="102">
        <f>576255/1000</f>
        <v>576.255</v>
      </c>
      <c r="H45" s="102"/>
      <c r="I45" s="102"/>
      <c r="J45" s="129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47.25" customHeight="1" thickBot="1" x14ac:dyDescent="0.3">
      <c r="A46" s="153"/>
      <c r="B46" s="70" t="s">
        <v>78</v>
      </c>
      <c r="C46" s="99" t="s">
        <v>79</v>
      </c>
      <c r="D46" s="102">
        <f>3500905.02/1000</f>
        <v>3500.9050200000001</v>
      </c>
      <c r="E46" s="102">
        <f>G46</f>
        <v>2450.7237799999998</v>
      </c>
      <c r="F46" s="84" t="s">
        <v>80</v>
      </c>
      <c r="G46" s="102">
        <f>2450723.78/1000</f>
        <v>2450.7237799999998</v>
      </c>
      <c r="H46" s="102"/>
      <c r="I46" s="102"/>
      <c r="J46" s="129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17.25" customHeight="1" thickBot="1" x14ac:dyDescent="0.3">
      <c r="A47" s="10" t="s">
        <v>13</v>
      </c>
      <c r="B47" s="183"/>
      <c r="C47" s="184"/>
      <c r="D47" s="185"/>
      <c r="E47" s="26">
        <f>SUM(E9:E46)</f>
        <v>4943.3672486560945</v>
      </c>
      <c r="F47" s="26"/>
      <c r="G47" s="26">
        <f>SUM(G9:G46)</f>
        <v>4943.3672486560945</v>
      </c>
      <c r="H47" s="26">
        <f>SUM(H9:H46)</f>
        <v>1797.1463200000005</v>
      </c>
      <c r="I47" s="26"/>
      <c r="J47" s="27">
        <f>SUM(J9:J46)</f>
        <v>1797.1463200000005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15.75" thickBot="1" x14ac:dyDescent="0.3">
      <c r="A48" s="148" t="s">
        <v>16</v>
      </c>
      <c r="B48" s="149"/>
      <c r="C48" s="149"/>
      <c r="D48" s="149"/>
      <c r="E48" s="149"/>
      <c r="F48" s="149"/>
      <c r="G48" s="149"/>
      <c r="H48" s="149"/>
      <c r="I48" s="149"/>
      <c r="J48" s="150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27.75" customHeight="1" x14ac:dyDescent="0.25">
      <c r="A49" s="151" t="s">
        <v>60</v>
      </c>
      <c r="B49" s="154" t="s">
        <v>28</v>
      </c>
      <c r="C49" s="154"/>
      <c r="D49" s="155"/>
      <c r="E49" s="49">
        <f t="shared" ref="E49:E79" si="5">G49</f>
        <v>5.62984990757856</v>
      </c>
      <c r="F49" s="49"/>
      <c r="G49" s="49">
        <v>5.62984990757856</v>
      </c>
      <c r="H49" s="49">
        <f t="shared" ref="H49:H79" si="6">J49</f>
        <v>24.78473</v>
      </c>
      <c r="I49" s="49"/>
      <c r="J49" s="71">
        <v>24.78473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30.75" customHeight="1" x14ac:dyDescent="0.25">
      <c r="A50" s="152"/>
      <c r="B50" s="156" t="s">
        <v>33</v>
      </c>
      <c r="C50" s="156"/>
      <c r="D50" s="157"/>
      <c r="E50" s="22">
        <f t="shared" si="5"/>
        <v>39.1591450018119</v>
      </c>
      <c r="F50" s="22"/>
      <c r="G50" s="22">
        <v>39.1591450018119</v>
      </c>
      <c r="H50" s="22">
        <f t="shared" si="6"/>
        <v>49.405110000000001</v>
      </c>
      <c r="I50" s="22"/>
      <c r="J50" s="106">
        <v>49.405110000000001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30" customHeight="1" thickBot="1" x14ac:dyDescent="0.3">
      <c r="A51" s="153"/>
      <c r="B51" s="165" t="s">
        <v>34</v>
      </c>
      <c r="C51" s="165"/>
      <c r="D51" s="166"/>
      <c r="E51" s="107">
        <f t="shared" si="5"/>
        <v>56.886302029688295</v>
      </c>
      <c r="F51" s="107"/>
      <c r="G51" s="107">
        <v>56.886302029688295</v>
      </c>
      <c r="H51" s="107">
        <f t="shared" si="6"/>
        <v>83.916479999999993</v>
      </c>
      <c r="I51" s="107"/>
      <c r="J51" s="108">
        <v>83.916479999999993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33.75" customHeight="1" x14ac:dyDescent="0.25">
      <c r="A52" s="167" t="s">
        <v>29</v>
      </c>
      <c r="B52" s="74" t="s">
        <v>82</v>
      </c>
      <c r="C52" s="98" t="s">
        <v>83</v>
      </c>
      <c r="D52" s="49">
        <f>10562094.55/1000</f>
        <v>10562.094550000002</v>
      </c>
      <c r="E52" s="49">
        <f>G52</f>
        <v>571.64494999999999</v>
      </c>
      <c r="F52" s="115" t="s">
        <v>85</v>
      </c>
      <c r="G52" s="49">
        <f>571644.95/1000</f>
        <v>571.64494999999999</v>
      </c>
      <c r="H52" s="49"/>
      <c r="I52" s="49"/>
      <c r="J52" s="71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51.75" customHeight="1" thickBot="1" x14ac:dyDescent="0.3">
      <c r="A53" s="169"/>
      <c r="B53" s="99" t="s">
        <v>90</v>
      </c>
      <c r="C53" s="99" t="s">
        <v>91</v>
      </c>
      <c r="D53" s="102">
        <f>9738510.57/1000</f>
        <v>9738.5105700000004</v>
      </c>
      <c r="E53" s="102">
        <f>G53</f>
        <v>871.97925999999995</v>
      </c>
      <c r="F53" s="84" t="s">
        <v>92</v>
      </c>
      <c r="G53" s="102">
        <f>871979.26/1000</f>
        <v>871.97925999999995</v>
      </c>
      <c r="H53" s="102"/>
      <c r="I53" s="102"/>
      <c r="J53" s="129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35.25" customHeight="1" x14ac:dyDescent="0.25">
      <c r="A54" s="167" t="s">
        <v>30</v>
      </c>
      <c r="B54" s="74" t="s">
        <v>82</v>
      </c>
      <c r="C54" s="98" t="s">
        <v>83</v>
      </c>
      <c r="D54" s="49">
        <f>10562094.55/1000</f>
        <v>10562.094550000002</v>
      </c>
      <c r="E54" s="49">
        <f>G54</f>
        <v>695.80638999999996</v>
      </c>
      <c r="F54" s="115" t="s">
        <v>84</v>
      </c>
      <c r="G54" s="49">
        <f>695806.39/1000</f>
        <v>695.80638999999996</v>
      </c>
      <c r="H54" s="49"/>
      <c r="I54" s="49"/>
      <c r="J54" s="71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45.75" customHeight="1" thickBot="1" x14ac:dyDescent="0.3">
      <c r="A55" s="169"/>
      <c r="B55" s="99" t="s">
        <v>90</v>
      </c>
      <c r="C55" s="99" t="s">
        <v>91</v>
      </c>
      <c r="D55" s="102">
        <f>9738510.57/1000</f>
        <v>9738.5105700000004</v>
      </c>
      <c r="E55" s="102">
        <f>G55</f>
        <v>360.04480999999998</v>
      </c>
      <c r="F55" s="84" t="s">
        <v>105</v>
      </c>
      <c r="G55" s="102">
        <f>360044.81/1000</f>
        <v>360.04480999999998</v>
      </c>
      <c r="H55" s="102">
        <f>J55</f>
        <v>360.04480800000005</v>
      </c>
      <c r="I55" s="84" t="s">
        <v>126</v>
      </c>
      <c r="J55" s="129">
        <f>300037.34*1.2/1000</f>
        <v>360.04480800000005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33" customHeight="1" x14ac:dyDescent="0.25">
      <c r="A56" s="167" t="s">
        <v>61</v>
      </c>
      <c r="B56" s="162" t="s">
        <v>28</v>
      </c>
      <c r="C56" s="154"/>
      <c r="D56" s="155"/>
      <c r="E56" s="49">
        <f t="shared" si="5"/>
        <v>1.5800369685767099</v>
      </c>
      <c r="F56" s="49"/>
      <c r="G56" s="49">
        <v>1.5800369685767099</v>
      </c>
      <c r="H56" s="49">
        <f t="shared" si="6"/>
        <v>6.9559300000000004</v>
      </c>
      <c r="I56" s="49"/>
      <c r="J56" s="71">
        <v>6.9559300000000004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33" customHeight="1" x14ac:dyDescent="0.25">
      <c r="A57" s="168"/>
      <c r="B57" s="163" t="s">
        <v>33</v>
      </c>
      <c r="C57" s="156"/>
      <c r="D57" s="157"/>
      <c r="E57" s="22">
        <f t="shared" si="5"/>
        <v>6.0655062109949505</v>
      </c>
      <c r="F57" s="22"/>
      <c r="G57" s="22">
        <v>6.0655062109949505</v>
      </c>
      <c r="H57" s="22">
        <f t="shared" si="6"/>
        <v>1.7031500000000002</v>
      </c>
      <c r="I57" s="22"/>
      <c r="J57" s="106">
        <v>1.7031500000000002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33" customHeight="1" thickBot="1" x14ac:dyDescent="0.3">
      <c r="A58" s="169"/>
      <c r="B58" s="164" t="s">
        <v>34</v>
      </c>
      <c r="C58" s="165"/>
      <c r="D58" s="166"/>
      <c r="E58" s="107">
        <f t="shared" si="5"/>
        <v>1.99878265995285</v>
      </c>
      <c r="F58" s="107"/>
      <c r="G58" s="107">
        <v>1.99878265995285</v>
      </c>
      <c r="H58" s="107">
        <f t="shared" si="6"/>
        <v>3.00807</v>
      </c>
      <c r="I58" s="107"/>
      <c r="J58" s="108">
        <v>3.00807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75.75" customHeight="1" thickBot="1" x14ac:dyDescent="0.3">
      <c r="A59" s="94" t="s">
        <v>121</v>
      </c>
      <c r="B59" s="96" t="s">
        <v>122</v>
      </c>
      <c r="C59" s="50" t="s">
        <v>130</v>
      </c>
      <c r="D59" s="92">
        <v>1740.327</v>
      </c>
      <c r="E59" s="76"/>
      <c r="F59" s="76"/>
      <c r="G59" s="76"/>
      <c r="H59" s="76">
        <f>J59</f>
        <v>1740.327</v>
      </c>
      <c r="I59" s="116" t="s">
        <v>133</v>
      </c>
      <c r="J59" s="117">
        <f>1450272.5*1.2/1000</f>
        <v>1740.327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33" customHeight="1" x14ac:dyDescent="0.25">
      <c r="A60" s="167" t="s">
        <v>62</v>
      </c>
      <c r="B60" s="162" t="s">
        <v>28</v>
      </c>
      <c r="C60" s="158"/>
      <c r="D60" s="155"/>
      <c r="E60" s="49">
        <f t="shared" si="5"/>
        <v>1.88719852125693</v>
      </c>
      <c r="F60" s="49"/>
      <c r="G60" s="49">
        <v>1.88719852125693</v>
      </c>
      <c r="H60" s="49">
        <f t="shared" si="6"/>
        <v>8.3081700000000005</v>
      </c>
      <c r="I60" s="49"/>
      <c r="J60" s="71">
        <v>8.3081700000000005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33" customHeight="1" x14ac:dyDescent="0.25">
      <c r="A61" s="168"/>
      <c r="B61" s="163" t="s">
        <v>33</v>
      </c>
      <c r="C61" s="156"/>
      <c r="D61" s="157"/>
      <c r="E61" s="22">
        <f t="shared" si="5"/>
        <v>21.613469666552</v>
      </c>
      <c r="F61" s="22"/>
      <c r="G61" s="22">
        <v>21.613469666552</v>
      </c>
      <c r="H61" s="22">
        <f t="shared" si="6"/>
        <v>37.5214</v>
      </c>
      <c r="I61" s="22"/>
      <c r="J61" s="106">
        <v>37.5214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33" customHeight="1" thickBot="1" x14ac:dyDescent="0.3">
      <c r="A62" s="169"/>
      <c r="B62" s="164" t="s">
        <v>34</v>
      </c>
      <c r="C62" s="165"/>
      <c r="D62" s="166"/>
      <c r="E62" s="107">
        <f t="shared" si="5"/>
        <v>49.469088795846403</v>
      </c>
      <c r="F62" s="107"/>
      <c r="G62" s="107">
        <v>49.469088795846403</v>
      </c>
      <c r="H62" s="107">
        <f t="shared" si="6"/>
        <v>82.86233</v>
      </c>
      <c r="I62" s="107"/>
      <c r="J62" s="108">
        <v>82.86233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33" customHeight="1" x14ac:dyDescent="0.25">
      <c r="A63" s="167" t="s">
        <v>63</v>
      </c>
      <c r="B63" s="162" t="s">
        <v>28</v>
      </c>
      <c r="C63" s="154"/>
      <c r="D63" s="155"/>
      <c r="E63" s="49">
        <f t="shared" si="5"/>
        <v>1.97089537892791</v>
      </c>
      <c r="F63" s="49"/>
      <c r="G63" s="49">
        <v>1.97089537892791</v>
      </c>
      <c r="H63" s="49">
        <f t="shared" si="6"/>
        <v>8.6766100000000002</v>
      </c>
      <c r="I63" s="49"/>
      <c r="J63" s="71">
        <v>8.6766100000000002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33" customHeight="1" x14ac:dyDescent="0.25">
      <c r="A64" s="168"/>
      <c r="B64" s="163" t="s">
        <v>33</v>
      </c>
      <c r="C64" s="156"/>
      <c r="D64" s="157"/>
      <c r="E64" s="22">
        <f t="shared" si="5"/>
        <v>19.3739768945482</v>
      </c>
      <c r="F64" s="22"/>
      <c r="G64" s="22">
        <v>19.3739768945482</v>
      </c>
      <c r="H64" s="22">
        <f t="shared" si="6"/>
        <v>31.28715</v>
      </c>
      <c r="I64" s="22"/>
      <c r="J64" s="106">
        <v>31.28715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33" customHeight="1" thickBot="1" x14ac:dyDescent="0.3">
      <c r="A65" s="169"/>
      <c r="B65" s="164" t="s">
        <v>34</v>
      </c>
      <c r="C65" s="165"/>
      <c r="D65" s="166"/>
      <c r="E65" s="107">
        <f t="shared" si="5"/>
        <v>36.028725646286098</v>
      </c>
      <c r="F65" s="107"/>
      <c r="G65" s="107">
        <v>36.028725646286098</v>
      </c>
      <c r="H65" s="107">
        <f t="shared" si="6"/>
        <v>53.154379999999996</v>
      </c>
      <c r="I65" s="107"/>
      <c r="J65" s="108">
        <v>53.154379999999996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33" customHeight="1" x14ac:dyDescent="0.25">
      <c r="A66" s="167" t="s">
        <v>64</v>
      </c>
      <c r="B66" s="162" t="s">
        <v>28</v>
      </c>
      <c r="C66" s="154"/>
      <c r="D66" s="155"/>
      <c r="E66" s="49">
        <f t="shared" si="5"/>
        <v>2.7379134935305003</v>
      </c>
      <c r="F66" s="49"/>
      <c r="G66" s="49">
        <v>2.7379134935305003</v>
      </c>
      <c r="H66" s="49">
        <f t="shared" si="6"/>
        <v>12.05331</v>
      </c>
      <c r="I66" s="49"/>
      <c r="J66" s="71">
        <v>12.05331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33" customHeight="1" x14ac:dyDescent="0.25">
      <c r="A67" s="168"/>
      <c r="B67" s="163" t="s">
        <v>33</v>
      </c>
      <c r="C67" s="156"/>
      <c r="D67" s="157"/>
      <c r="E67" s="22">
        <f t="shared" si="5"/>
        <v>46.918580690983504</v>
      </c>
      <c r="F67" s="22"/>
      <c r="G67" s="22">
        <v>46.918580690983504</v>
      </c>
      <c r="H67" s="22">
        <f t="shared" si="6"/>
        <v>92.869770000000003</v>
      </c>
      <c r="I67" s="22"/>
      <c r="J67" s="106">
        <v>92.869770000000003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33" customHeight="1" thickBot="1" x14ac:dyDescent="0.3">
      <c r="A68" s="169"/>
      <c r="B68" s="164" t="s">
        <v>34</v>
      </c>
      <c r="C68" s="165"/>
      <c r="D68" s="166"/>
      <c r="E68" s="107">
        <f t="shared" si="5"/>
        <v>75.111859678784711</v>
      </c>
      <c r="F68" s="107"/>
      <c r="G68" s="107">
        <v>75.111859678784711</v>
      </c>
      <c r="H68" s="107">
        <f t="shared" si="6"/>
        <v>60.590040000000002</v>
      </c>
      <c r="I68" s="107"/>
      <c r="J68" s="108">
        <v>60.590040000000002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87.75" customHeight="1" thickBot="1" x14ac:dyDescent="0.3">
      <c r="A69" s="93" t="s">
        <v>35</v>
      </c>
      <c r="B69" s="162" t="s">
        <v>28</v>
      </c>
      <c r="C69" s="154"/>
      <c r="D69" s="155"/>
      <c r="E69" s="49">
        <f t="shared" si="5"/>
        <v>87.97822871794871</v>
      </c>
      <c r="F69" s="49"/>
      <c r="G69" s="49">
        <v>87.97822871794871</v>
      </c>
      <c r="H69" s="49"/>
      <c r="I69" s="49"/>
      <c r="J69" s="71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30" customHeight="1" x14ac:dyDescent="0.25">
      <c r="A70" s="159" t="s">
        <v>61</v>
      </c>
      <c r="B70" s="162" t="s">
        <v>28</v>
      </c>
      <c r="C70" s="154"/>
      <c r="D70" s="155"/>
      <c r="E70" s="49">
        <f t="shared" si="5"/>
        <v>0.81301885397412199</v>
      </c>
      <c r="F70" s="49"/>
      <c r="G70" s="49">
        <v>0.81301885397412199</v>
      </c>
      <c r="H70" s="49">
        <f t="shared" si="6"/>
        <v>3.5792299999999999</v>
      </c>
      <c r="I70" s="49"/>
      <c r="J70" s="71">
        <v>3.5792299999999999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30" customHeight="1" x14ac:dyDescent="0.25">
      <c r="A71" s="160"/>
      <c r="B71" s="163" t="s">
        <v>33</v>
      </c>
      <c r="C71" s="156"/>
      <c r="D71" s="157"/>
      <c r="E71" s="22">
        <f t="shared" si="5"/>
        <v>3.4124793503092401</v>
      </c>
      <c r="F71" s="22"/>
      <c r="G71" s="22">
        <v>3.4124793503092401</v>
      </c>
      <c r="H71" s="22">
        <f t="shared" si="6"/>
        <v>1.5960799999999999</v>
      </c>
      <c r="I71" s="22"/>
      <c r="J71" s="106">
        <v>1.5960799999999999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30" customHeight="1" thickBot="1" x14ac:dyDescent="0.3">
      <c r="A72" s="161"/>
      <c r="B72" s="164" t="s">
        <v>34</v>
      </c>
      <c r="C72" s="165"/>
      <c r="D72" s="166"/>
      <c r="E72" s="107">
        <f t="shared" si="5"/>
        <v>1.4573966694164902</v>
      </c>
      <c r="F72" s="107"/>
      <c r="G72" s="107">
        <v>1.4573966694164902</v>
      </c>
      <c r="H72" s="107">
        <f t="shared" si="6"/>
        <v>1.5497000000000001</v>
      </c>
      <c r="I72" s="107"/>
      <c r="J72" s="108">
        <v>1.5497000000000001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30" customHeight="1" x14ac:dyDescent="0.25">
      <c r="A73" s="159" t="s">
        <v>36</v>
      </c>
      <c r="B73" s="162" t="s">
        <v>28</v>
      </c>
      <c r="C73" s="154"/>
      <c r="D73" s="155"/>
      <c r="E73" s="49">
        <f t="shared" si="5"/>
        <v>89.698058105176102</v>
      </c>
      <c r="F73" s="49"/>
      <c r="G73" s="49">
        <v>89.698058105176102</v>
      </c>
      <c r="H73" s="49">
        <f t="shared" si="6"/>
        <v>20.98903</v>
      </c>
      <c r="I73" s="49"/>
      <c r="J73" s="71">
        <v>20.98903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30" customHeight="1" x14ac:dyDescent="0.25">
      <c r="A74" s="160"/>
      <c r="B74" s="163" t="s">
        <v>33</v>
      </c>
      <c r="C74" s="156"/>
      <c r="D74" s="157"/>
      <c r="E74" s="22">
        <f t="shared" si="5"/>
        <v>30.628239946800601</v>
      </c>
      <c r="F74" s="22"/>
      <c r="G74" s="22">
        <v>30.628239946800601</v>
      </c>
      <c r="H74" s="22">
        <f t="shared" si="6"/>
        <v>35.581060000000001</v>
      </c>
      <c r="I74" s="22"/>
      <c r="J74" s="106">
        <v>35.581060000000001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30" customHeight="1" thickBot="1" x14ac:dyDescent="0.3">
      <c r="A75" s="161"/>
      <c r="B75" s="164" t="s">
        <v>34</v>
      </c>
      <c r="C75" s="165"/>
      <c r="D75" s="166"/>
      <c r="E75" s="107">
        <f t="shared" si="5"/>
        <v>27.840310536729699</v>
      </c>
      <c r="F75" s="107"/>
      <c r="G75" s="107">
        <v>27.840310536729699</v>
      </c>
      <c r="H75" s="107">
        <f t="shared" si="6"/>
        <v>20.352430000000002</v>
      </c>
      <c r="I75" s="107"/>
      <c r="J75" s="108">
        <v>20.352430000000002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30" customHeight="1" x14ac:dyDescent="0.25">
      <c r="A76" s="159" t="s">
        <v>65</v>
      </c>
      <c r="B76" s="74" t="s">
        <v>86</v>
      </c>
      <c r="C76" s="98" t="s">
        <v>87</v>
      </c>
      <c r="D76" s="90">
        <f>1567539.58/1000</f>
        <v>1567.5395800000001</v>
      </c>
      <c r="E76" s="49">
        <f>G76</f>
        <v>1567.5395800000001</v>
      </c>
      <c r="F76" s="115" t="s">
        <v>88</v>
      </c>
      <c r="G76" s="49">
        <f>1567539.58/1000</f>
        <v>1567.5395800000001</v>
      </c>
      <c r="H76" s="49"/>
      <c r="I76" s="49"/>
      <c r="J76" s="71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30" customHeight="1" x14ac:dyDescent="0.25">
      <c r="A77" s="160"/>
      <c r="B77" s="176" t="s">
        <v>28</v>
      </c>
      <c r="C77" s="158"/>
      <c r="D77" s="177"/>
      <c r="E77" s="102">
        <f t="shared" si="5"/>
        <v>99.889680999999996</v>
      </c>
      <c r="F77" s="102"/>
      <c r="G77" s="102">
        <f>99889.681/1000</f>
        <v>99.889680999999996</v>
      </c>
      <c r="H77" s="102">
        <f t="shared" si="6"/>
        <v>21.92041</v>
      </c>
      <c r="I77" s="102"/>
      <c r="J77" s="129">
        <v>21.92041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30" customHeight="1" x14ac:dyDescent="0.25">
      <c r="A78" s="160"/>
      <c r="B78" s="163" t="s">
        <v>33</v>
      </c>
      <c r="C78" s="156"/>
      <c r="D78" s="157"/>
      <c r="E78" s="22">
        <f t="shared" si="5"/>
        <v>29.069403771373398</v>
      </c>
      <c r="F78" s="22"/>
      <c r="G78" s="22">
        <v>29.069403771373398</v>
      </c>
      <c r="H78" s="22">
        <f t="shared" si="6"/>
        <v>29.953409999999998</v>
      </c>
      <c r="I78" s="22"/>
      <c r="J78" s="106">
        <v>29.953409999999998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30" customHeight="1" thickBot="1" x14ac:dyDescent="0.3">
      <c r="A79" s="161"/>
      <c r="B79" s="164" t="s">
        <v>34</v>
      </c>
      <c r="C79" s="165"/>
      <c r="D79" s="166"/>
      <c r="E79" s="107">
        <f t="shared" si="5"/>
        <v>19.144577088132301</v>
      </c>
      <c r="F79" s="107"/>
      <c r="G79" s="107">
        <v>19.144577088132301</v>
      </c>
      <c r="H79" s="107">
        <f t="shared" si="6"/>
        <v>4.0282099999999996</v>
      </c>
      <c r="I79" s="107"/>
      <c r="J79" s="108">
        <v>4.0282099999999996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50.25" customHeight="1" x14ac:dyDescent="0.25">
      <c r="A80" s="159" t="s">
        <v>27</v>
      </c>
      <c r="B80" s="170" t="s">
        <v>39</v>
      </c>
      <c r="C80" s="170" t="s">
        <v>40</v>
      </c>
      <c r="D80" s="203">
        <v>72267.362829999998</v>
      </c>
      <c r="E80" s="49">
        <f t="shared" ref="E80:E90" si="7">G80</f>
        <v>4857.8774000000003</v>
      </c>
      <c r="F80" s="115" t="s">
        <v>96</v>
      </c>
      <c r="G80" s="49">
        <f>4857877.4/1000</f>
        <v>4857.8774000000003</v>
      </c>
      <c r="H80" s="118">
        <f>J80</f>
        <v>1681.4204159999999</v>
      </c>
      <c r="I80" s="119" t="s">
        <v>124</v>
      </c>
      <c r="J80" s="120">
        <f>1401183.68*1.2/1000</f>
        <v>1681.4204159999999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53.25" customHeight="1" x14ac:dyDescent="0.25">
      <c r="A81" s="160"/>
      <c r="B81" s="171"/>
      <c r="C81" s="171"/>
      <c r="D81" s="204"/>
      <c r="E81" s="102">
        <f t="shared" si="7"/>
        <v>783.49063999999998</v>
      </c>
      <c r="F81" s="84" t="s">
        <v>98</v>
      </c>
      <c r="G81" s="102">
        <f>783490.64/1000</f>
        <v>783.49063999999998</v>
      </c>
      <c r="H81" s="77">
        <f>J81</f>
        <v>2034.0894479999999</v>
      </c>
      <c r="I81" s="121" t="s">
        <v>127</v>
      </c>
      <c r="J81" s="122">
        <f>1695074.54*1.2/1000</f>
        <v>2034.0894479999999</v>
      </c>
      <c r="K81" s="79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49.5" customHeight="1" x14ac:dyDescent="0.25">
      <c r="A82" s="160"/>
      <c r="B82" s="171"/>
      <c r="C82" s="171"/>
      <c r="D82" s="204"/>
      <c r="E82" s="76">
        <f t="shared" si="7"/>
        <v>7941.7589500000004</v>
      </c>
      <c r="F82" s="84" t="s">
        <v>102</v>
      </c>
      <c r="G82" s="102">
        <f>7941758.95/1000</f>
        <v>7941.7589500000004</v>
      </c>
      <c r="H82" s="77">
        <f>J82</f>
        <v>973.79129999999998</v>
      </c>
      <c r="I82" s="121" t="s">
        <v>129</v>
      </c>
      <c r="J82" s="122">
        <f>811492.75*1.2/1000</f>
        <v>973.79129999999998</v>
      </c>
      <c r="K82" s="79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57" x14ac:dyDescent="0.25">
      <c r="A83" s="160"/>
      <c r="B83" s="171"/>
      <c r="C83" s="171"/>
      <c r="D83" s="204"/>
      <c r="E83" s="22">
        <f t="shared" si="7"/>
        <v>4082.6730699999998</v>
      </c>
      <c r="F83" s="84" t="s">
        <v>103</v>
      </c>
      <c r="G83" s="102">
        <f>4082673.07/1000</f>
        <v>4082.6730699999998</v>
      </c>
      <c r="H83" s="77">
        <f>J83</f>
        <v>-231.78206399999999</v>
      </c>
      <c r="I83" s="121" t="s">
        <v>132</v>
      </c>
      <c r="J83" s="122">
        <f>-193151.72*1.2/1000</f>
        <v>-231.78206399999999</v>
      </c>
      <c r="K83" s="79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51.75" customHeight="1" x14ac:dyDescent="0.25">
      <c r="A84" s="160"/>
      <c r="B84" s="171"/>
      <c r="C84" s="171"/>
      <c r="D84" s="204"/>
      <c r="E84" s="22">
        <f t="shared" si="7"/>
        <v>6688.2976900000003</v>
      </c>
      <c r="F84" s="84" t="s">
        <v>104</v>
      </c>
      <c r="G84" s="102">
        <f>6688297.69/1000</f>
        <v>6688.2976900000003</v>
      </c>
      <c r="H84" s="77">
        <f>J84</f>
        <v>1016.0223119999999</v>
      </c>
      <c r="I84" s="121" t="s">
        <v>131</v>
      </c>
      <c r="J84" s="122">
        <f>846685.26*1.2/1000</f>
        <v>1016.0223119999999</v>
      </c>
      <c r="K84" s="79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36" customHeight="1" x14ac:dyDescent="0.25">
      <c r="A85" s="160"/>
      <c r="B85" s="171"/>
      <c r="C85" s="171"/>
      <c r="D85" s="204"/>
      <c r="E85" s="76">
        <f t="shared" si="7"/>
        <v>1681.4204199999999</v>
      </c>
      <c r="F85" s="84" t="s">
        <v>115</v>
      </c>
      <c r="G85" s="102">
        <f>1681420.42/1000</f>
        <v>1681.4204199999999</v>
      </c>
      <c r="H85" s="77"/>
      <c r="I85" s="77"/>
      <c r="J85" s="122"/>
      <c r="K85" s="79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60" customHeight="1" x14ac:dyDescent="0.25">
      <c r="A86" s="160"/>
      <c r="B86" s="80" t="s">
        <v>99</v>
      </c>
      <c r="C86" s="99" t="s">
        <v>100</v>
      </c>
      <c r="D86" s="81"/>
      <c r="E86" s="22">
        <f t="shared" si="7"/>
        <v>193.55206000000001</v>
      </c>
      <c r="F86" s="123" t="s">
        <v>101</v>
      </c>
      <c r="G86" s="22">
        <f>193552.06/1000</f>
        <v>193.55206000000001</v>
      </c>
      <c r="H86" s="22"/>
      <c r="I86" s="22"/>
      <c r="J86" s="106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60" customHeight="1" x14ac:dyDescent="0.25">
      <c r="A87" s="160"/>
      <c r="B87" s="96" t="s">
        <v>113</v>
      </c>
      <c r="C87" s="99" t="s">
        <v>114</v>
      </c>
      <c r="D87" s="75"/>
      <c r="E87" s="76">
        <f t="shared" si="7"/>
        <v>26.342435999999999</v>
      </c>
      <c r="F87" s="84"/>
      <c r="G87" s="102">
        <f>21952.03*1.2/1000</f>
        <v>26.342435999999999</v>
      </c>
      <c r="H87" s="102"/>
      <c r="I87" s="102"/>
      <c r="J87" s="129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30" customHeight="1" x14ac:dyDescent="0.25">
      <c r="A88" s="160"/>
      <c r="B88" s="173" t="s">
        <v>89</v>
      </c>
      <c r="C88" s="174"/>
      <c r="D88" s="175"/>
      <c r="E88" s="124">
        <f t="shared" si="7"/>
        <v>321.33140999999995</v>
      </c>
      <c r="F88" s="78" t="s">
        <v>72</v>
      </c>
      <c r="G88" s="114">
        <f>321331.41/1000</f>
        <v>321.33140999999995</v>
      </c>
      <c r="H88" s="77">
        <f>J88</f>
        <v>321.33140999999995</v>
      </c>
      <c r="I88" s="78" t="s">
        <v>72</v>
      </c>
      <c r="J88" s="86">
        <f>321331.41/1000</f>
        <v>321.33140999999995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30" customHeight="1" x14ac:dyDescent="0.25">
      <c r="A89" s="160"/>
      <c r="B89" s="173" t="s">
        <v>107</v>
      </c>
      <c r="C89" s="174"/>
      <c r="D89" s="175"/>
      <c r="E89" s="124">
        <f t="shared" si="7"/>
        <v>320.22381000000001</v>
      </c>
      <c r="F89" s="78" t="s">
        <v>72</v>
      </c>
      <c r="G89" s="114">
        <v>320.22381000000001</v>
      </c>
      <c r="H89" s="77">
        <f>J89</f>
        <v>320.22381000000001</v>
      </c>
      <c r="I89" s="78" t="s">
        <v>72</v>
      </c>
      <c r="J89" s="86">
        <f>320223.81/1000</f>
        <v>320.22381000000001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30" customHeight="1" x14ac:dyDescent="0.25">
      <c r="A90" s="160"/>
      <c r="B90" s="173" t="s">
        <v>120</v>
      </c>
      <c r="C90" s="174"/>
      <c r="D90" s="175"/>
      <c r="E90" s="124">
        <f t="shared" si="7"/>
        <v>499.43596000000002</v>
      </c>
      <c r="F90" s="78" t="s">
        <v>72</v>
      </c>
      <c r="G90" s="114">
        <f>499435.96/1000</f>
        <v>499.43596000000002</v>
      </c>
      <c r="H90" s="77">
        <f>J90</f>
        <v>499.43596000000002</v>
      </c>
      <c r="I90" s="78" t="s">
        <v>72</v>
      </c>
      <c r="J90" s="86">
        <f>499435.96/1000</f>
        <v>499.43596000000002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30" customHeight="1" thickBot="1" x14ac:dyDescent="0.3">
      <c r="A91" s="160"/>
      <c r="B91" s="172" t="s">
        <v>106</v>
      </c>
      <c r="C91" s="172"/>
      <c r="D91" s="172"/>
      <c r="E91" s="125"/>
      <c r="F91" s="125"/>
      <c r="G91" s="125"/>
      <c r="H91" s="114">
        <f t="shared" ref="H91" si="8">J91</f>
        <v>270.31616400000001</v>
      </c>
      <c r="I91" s="126" t="s">
        <v>72</v>
      </c>
      <c r="J91" s="86">
        <f>225263.47*1.2/1000</f>
        <v>270.31616400000001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20.25" customHeight="1" x14ac:dyDescent="0.25">
      <c r="A92" s="160"/>
      <c r="B92" s="162" t="s">
        <v>28</v>
      </c>
      <c r="C92" s="154"/>
      <c r="D92" s="155"/>
      <c r="E92" s="49">
        <f>G92</f>
        <v>438.24040300000001</v>
      </c>
      <c r="F92" s="49"/>
      <c r="G92" s="49">
        <v>438.24040300000001</v>
      </c>
      <c r="H92" s="49">
        <f>J92</f>
        <v>514.88535999999999</v>
      </c>
      <c r="I92" s="49"/>
      <c r="J92" s="71">
        <f>514885.36/1000</f>
        <v>514.88535999999999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21" customHeight="1" x14ac:dyDescent="0.25">
      <c r="A93" s="160"/>
      <c r="B93" s="163" t="s">
        <v>33</v>
      </c>
      <c r="C93" s="156"/>
      <c r="D93" s="157"/>
      <c r="E93" s="22">
        <f>G93</f>
        <v>593.39853400000004</v>
      </c>
      <c r="F93" s="22"/>
      <c r="G93" s="22">
        <f>593398.534/1000</f>
        <v>593.39853400000004</v>
      </c>
      <c r="H93" s="22">
        <f>J93</f>
        <v>482.75650999999999</v>
      </c>
      <c r="I93" s="22"/>
      <c r="J93" s="106">
        <f>482756.51/1000</f>
        <v>482.75650999999999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22.5" customHeight="1" thickBot="1" x14ac:dyDescent="0.3">
      <c r="A94" s="161"/>
      <c r="B94" s="163" t="s">
        <v>34</v>
      </c>
      <c r="C94" s="156"/>
      <c r="D94" s="157"/>
      <c r="E94" s="22">
        <f>G94</f>
        <v>428.28329500000001</v>
      </c>
      <c r="F94" s="22"/>
      <c r="G94" s="22">
        <f>428283.295/1000</f>
        <v>428.28329500000001</v>
      </c>
      <c r="H94" s="22">
        <f>J94</f>
        <v>430.47760999999997</v>
      </c>
      <c r="I94" s="22"/>
      <c r="J94" s="106">
        <f>430477.61/1000</f>
        <v>430.47760999999997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48.75" customHeight="1" thickBot="1" x14ac:dyDescent="0.3">
      <c r="A95" s="127" t="s">
        <v>37</v>
      </c>
      <c r="B95" s="69" t="s">
        <v>43</v>
      </c>
      <c r="C95" s="50" t="s">
        <v>41</v>
      </c>
      <c r="D95" s="89">
        <f>1147073.44/1000</f>
        <v>1147.0734399999999</v>
      </c>
      <c r="E95" s="72">
        <f>G95</f>
        <v>710.26214000000004</v>
      </c>
      <c r="F95" s="113" t="s">
        <v>81</v>
      </c>
      <c r="G95" s="72">
        <f>710262.14/1000</f>
        <v>710.26214000000004</v>
      </c>
      <c r="H95" s="72"/>
      <c r="I95" s="72"/>
      <c r="J95" s="7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24.75" customHeight="1" x14ac:dyDescent="0.25">
      <c r="A96" s="159" t="s">
        <v>66</v>
      </c>
      <c r="B96" s="162" t="s">
        <v>28</v>
      </c>
      <c r="C96" s="154"/>
      <c r="D96" s="155"/>
      <c r="E96" s="49">
        <f t="shared" ref="E96:E108" si="9">G96</f>
        <v>2.46909870609981</v>
      </c>
      <c r="F96" s="49"/>
      <c r="G96" s="49">
        <v>2.46909870609981</v>
      </c>
      <c r="H96" s="49">
        <f t="shared" ref="H96:H108" si="10">J96</f>
        <v>10.86992</v>
      </c>
      <c r="I96" s="49"/>
      <c r="J96" s="71">
        <v>10.86992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23.25" customHeight="1" x14ac:dyDescent="0.25">
      <c r="A97" s="160"/>
      <c r="B97" s="163" t="s">
        <v>33</v>
      </c>
      <c r="C97" s="156"/>
      <c r="D97" s="157"/>
      <c r="E97" s="22">
        <f t="shared" si="9"/>
        <v>40.434703336733804</v>
      </c>
      <c r="F97" s="22"/>
      <c r="G97" s="22">
        <v>40.434703336733804</v>
      </c>
      <c r="H97" s="22">
        <f t="shared" si="10"/>
        <v>79.115089999999995</v>
      </c>
      <c r="I97" s="22"/>
      <c r="J97" s="106">
        <v>79.115089999999995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25.5" customHeight="1" thickBot="1" x14ac:dyDescent="0.3">
      <c r="A98" s="161"/>
      <c r="B98" s="164" t="s">
        <v>34</v>
      </c>
      <c r="C98" s="165"/>
      <c r="D98" s="166"/>
      <c r="E98" s="107">
        <f t="shared" si="9"/>
        <v>67.854775431163404</v>
      </c>
      <c r="F98" s="107"/>
      <c r="G98" s="107">
        <v>67.854775431163404</v>
      </c>
      <c r="H98" s="107">
        <f t="shared" si="10"/>
        <v>63.424190000000003</v>
      </c>
      <c r="I98" s="107"/>
      <c r="J98" s="108">
        <v>63.424190000000003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30" customHeight="1" x14ac:dyDescent="0.25">
      <c r="A99" s="159" t="s">
        <v>67</v>
      </c>
      <c r="B99" s="162" t="s">
        <v>28</v>
      </c>
      <c r="C99" s="154"/>
      <c r="D99" s="155"/>
      <c r="E99" s="49">
        <f t="shared" si="9"/>
        <v>1.7140406654343798</v>
      </c>
      <c r="F99" s="49"/>
      <c r="G99" s="49">
        <v>1.7140406654343798</v>
      </c>
      <c r="H99" s="49">
        <f t="shared" si="10"/>
        <v>7.5458400000000001</v>
      </c>
      <c r="I99" s="49"/>
      <c r="J99" s="71">
        <v>7.5458400000000001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27.75" customHeight="1" x14ac:dyDescent="0.25">
      <c r="A100" s="160"/>
      <c r="B100" s="163" t="s">
        <v>33</v>
      </c>
      <c r="C100" s="156"/>
      <c r="D100" s="157"/>
      <c r="E100" s="22">
        <f t="shared" si="9"/>
        <v>7.3192826953563896</v>
      </c>
      <c r="F100" s="22"/>
      <c r="G100" s="22">
        <v>7.3192826953563896</v>
      </c>
      <c r="H100" s="22">
        <f t="shared" si="10"/>
        <v>3.6736800000000001</v>
      </c>
      <c r="I100" s="22"/>
      <c r="J100" s="106">
        <v>3.6736800000000001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33" customHeight="1" thickBot="1" x14ac:dyDescent="0.3">
      <c r="A101" s="161"/>
      <c r="B101" s="164" t="s">
        <v>34</v>
      </c>
      <c r="C101" s="165"/>
      <c r="D101" s="166"/>
      <c r="E101" s="107">
        <f t="shared" si="9"/>
        <v>2.8289359111260199</v>
      </c>
      <c r="F101" s="107"/>
      <c r="G101" s="107">
        <v>2.8289359111260199</v>
      </c>
      <c r="H101" s="107">
        <f t="shared" si="10"/>
        <v>1.9623499999999998</v>
      </c>
      <c r="I101" s="107"/>
      <c r="J101" s="108">
        <v>1.9623499999999998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29.25" customHeight="1" x14ac:dyDescent="0.25">
      <c r="A102" s="159" t="s">
        <v>68</v>
      </c>
      <c r="B102" s="162" t="s">
        <v>28</v>
      </c>
      <c r="C102" s="154"/>
      <c r="D102" s="155"/>
      <c r="E102" s="49">
        <f t="shared" si="9"/>
        <v>2.0833685767098</v>
      </c>
      <c r="F102" s="49"/>
      <c r="G102" s="49">
        <v>2.0833685767098</v>
      </c>
      <c r="H102" s="49">
        <f t="shared" si="10"/>
        <v>9.1717900000000014</v>
      </c>
      <c r="I102" s="49"/>
      <c r="J102" s="71">
        <v>9.1717900000000014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31.5" customHeight="1" x14ac:dyDescent="0.25">
      <c r="A103" s="160"/>
      <c r="B103" s="163" t="s">
        <v>33</v>
      </c>
      <c r="C103" s="156"/>
      <c r="D103" s="157"/>
      <c r="E103" s="22">
        <f t="shared" si="9"/>
        <v>8.9086467939656604</v>
      </c>
      <c r="F103" s="22"/>
      <c r="G103" s="22">
        <v>8.9086467939656604</v>
      </c>
      <c r="H103" s="22">
        <f t="shared" si="10"/>
        <v>4.4954600000000005</v>
      </c>
      <c r="I103" s="22"/>
      <c r="J103" s="106">
        <v>4.4954600000000005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30" customHeight="1" thickBot="1" x14ac:dyDescent="0.3">
      <c r="A104" s="161"/>
      <c r="B104" s="164" t="s">
        <v>34</v>
      </c>
      <c r="C104" s="165"/>
      <c r="D104" s="166"/>
      <c r="E104" s="107">
        <f t="shared" si="9"/>
        <v>3.6814702756841298</v>
      </c>
      <c r="F104" s="107"/>
      <c r="G104" s="107">
        <v>3.6814702756841298</v>
      </c>
      <c r="H104" s="107">
        <f t="shared" si="10"/>
        <v>3.0721599999999998</v>
      </c>
      <c r="I104" s="107"/>
      <c r="J104" s="108">
        <v>3.0721599999999998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30" customHeight="1" x14ac:dyDescent="0.25">
      <c r="A105" s="159" t="s">
        <v>69</v>
      </c>
      <c r="B105" s="97" t="s">
        <v>118</v>
      </c>
      <c r="C105" s="95"/>
      <c r="D105" s="128"/>
      <c r="E105" s="49">
        <f>G105</f>
        <v>5.6110100000000003</v>
      </c>
      <c r="F105" s="115" t="s">
        <v>119</v>
      </c>
      <c r="G105" s="49">
        <f>5611.01/1000</f>
        <v>5.6110100000000003</v>
      </c>
      <c r="H105" s="49"/>
      <c r="I105" s="49"/>
      <c r="J105" s="71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25.5" customHeight="1" x14ac:dyDescent="0.25">
      <c r="A106" s="160"/>
      <c r="B106" s="176" t="s">
        <v>28</v>
      </c>
      <c r="C106" s="158"/>
      <c r="D106" s="177"/>
      <c r="E106" s="102">
        <f t="shared" si="9"/>
        <v>1.92694417744917</v>
      </c>
      <c r="F106" s="102"/>
      <c r="G106" s="102">
        <v>1.92694417744917</v>
      </c>
      <c r="H106" s="102">
        <f t="shared" si="10"/>
        <v>8.4831399999999988</v>
      </c>
      <c r="I106" s="102"/>
      <c r="J106" s="129">
        <v>8.4831399999999988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27" customHeight="1" x14ac:dyDescent="0.25">
      <c r="A107" s="160"/>
      <c r="B107" s="163" t="s">
        <v>33</v>
      </c>
      <c r="C107" s="156"/>
      <c r="D107" s="157"/>
      <c r="E107" s="22">
        <f t="shared" si="9"/>
        <v>9.2865286067353416</v>
      </c>
      <c r="F107" s="22"/>
      <c r="G107" s="22">
        <v>9.2865286067353416</v>
      </c>
      <c r="H107" s="22">
        <f t="shared" si="10"/>
        <v>6.7431899999999994</v>
      </c>
      <c r="I107" s="22"/>
      <c r="J107" s="106">
        <v>6.7431899999999994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25.5" customHeight="1" thickBot="1" x14ac:dyDescent="0.3">
      <c r="A108" s="161"/>
      <c r="B108" s="164" t="s">
        <v>34</v>
      </c>
      <c r="C108" s="165"/>
      <c r="D108" s="166"/>
      <c r="E108" s="22">
        <f t="shared" si="9"/>
        <v>5.0029943999999995</v>
      </c>
      <c r="F108" s="107"/>
      <c r="G108" s="107">
        <f>5002.9944/1000</f>
        <v>5.0029943999999995</v>
      </c>
      <c r="H108" s="22">
        <f t="shared" si="10"/>
        <v>3.0230199999999998</v>
      </c>
      <c r="I108" s="107"/>
      <c r="J108" s="108">
        <v>3.0230199999999998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52.5" customHeight="1" x14ac:dyDescent="0.25">
      <c r="A109" s="159" t="s">
        <v>48</v>
      </c>
      <c r="B109" s="196" t="s">
        <v>44</v>
      </c>
      <c r="C109" s="198" t="s">
        <v>45</v>
      </c>
      <c r="D109" s="200">
        <v>9559.4439999999995</v>
      </c>
      <c r="E109" s="49">
        <f>G109</f>
        <v>1205.3496</v>
      </c>
      <c r="F109" s="115" t="s">
        <v>77</v>
      </c>
      <c r="G109" s="49">
        <f>1205349.6/1000</f>
        <v>1205.3496</v>
      </c>
      <c r="H109" s="49">
        <f>J109</f>
        <v>152.92079999999999</v>
      </c>
      <c r="I109" s="115" t="s">
        <v>125</v>
      </c>
      <c r="J109" s="71">
        <f>127434*1.2/1000</f>
        <v>152.92079999999999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52.5" customHeight="1" x14ac:dyDescent="0.25">
      <c r="A110" s="160"/>
      <c r="B110" s="197"/>
      <c r="C110" s="189"/>
      <c r="D110" s="201"/>
      <c r="E110" s="102"/>
      <c r="F110" s="84"/>
      <c r="G110" s="102"/>
      <c r="H110" s="102">
        <f>J110</f>
        <v>1588.3368</v>
      </c>
      <c r="I110" s="84" t="s">
        <v>135</v>
      </c>
      <c r="J110" s="129">
        <f>1323614*1.2/1000</f>
        <v>1588.3368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52.5" customHeight="1" x14ac:dyDescent="0.25">
      <c r="A111" s="160"/>
      <c r="B111" s="176"/>
      <c r="C111" s="199"/>
      <c r="D111" s="202"/>
      <c r="E111" s="22"/>
      <c r="F111" s="22"/>
      <c r="G111" s="22"/>
      <c r="H111" s="22">
        <f>J111</f>
        <v>218.01119999999997</v>
      </c>
      <c r="I111" s="84" t="s">
        <v>136</v>
      </c>
      <c r="J111" s="106">
        <f>181676*1.2/1000</f>
        <v>218.01119999999997</v>
      </c>
      <c r="K111" s="33"/>
      <c r="L111" s="54"/>
      <c r="M111" s="33"/>
      <c r="N111" s="33"/>
      <c r="O111" s="33"/>
      <c r="P111" s="33"/>
      <c r="Q111" s="33"/>
      <c r="R111" s="33"/>
      <c r="S111" s="33"/>
      <c r="T111" s="33"/>
    </row>
    <row r="112" spans="1:20" ht="96.75" customHeight="1" x14ac:dyDescent="0.25">
      <c r="A112" s="160"/>
      <c r="B112" s="99" t="s">
        <v>111</v>
      </c>
      <c r="C112" s="99" t="s">
        <v>112</v>
      </c>
      <c r="D112" s="91">
        <f>3867545.75/1000</f>
        <v>3867.5457500000002</v>
      </c>
      <c r="E112" s="22">
        <f>G112</f>
        <v>3074.29261</v>
      </c>
      <c r="F112" s="123" t="s">
        <v>117</v>
      </c>
      <c r="G112" s="22">
        <f>3074292.61/1000</f>
        <v>3074.29261</v>
      </c>
      <c r="H112" s="22">
        <f>J112</f>
        <v>3074.29261</v>
      </c>
      <c r="I112" s="123" t="s">
        <v>134</v>
      </c>
      <c r="J112" s="106">
        <f>3074292.61/1000</f>
        <v>3074.29261</v>
      </c>
      <c r="K112" s="87"/>
      <c r="L112" s="54"/>
      <c r="M112" s="33"/>
      <c r="N112" s="33"/>
      <c r="O112" s="33"/>
      <c r="P112" s="33"/>
      <c r="Q112" s="33"/>
      <c r="R112" s="33"/>
      <c r="S112" s="33"/>
      <c r="T112" s="33"/>
    </row>
    <row r="113" spans="1:20" ht="36.75" customHeight="1" x14ac:dyDescent="0.25">
      <c r="A113" s="160"/>
      <c r="B113" s="176" t="s">
        <v>28</v>
      </c>
      <c r="C113" s="158"/>
      <c r="D113" s="177"/>
      <c r="E113" s="102">
        <f t="shared" ref="E113:E115" si="11">G113</f>
        <v>362.73541299999999</v>
      </c>
      <c r="F113" s="102"/>
      <c r="G113" s="102">
        <f>362735.413/1000</f>
        <v>362.73541299999999</v>
      </c>
      <c r="H113" s="102">
        <f t="shared" ref="H113:H114" si="12">J113</f>
        <v>436.26371</v>
      </c>
      <c r="I113" s="102"/>
      <c r="J113" s="129">
        <f>436263.71/1000</f>
        <v>436.26371</v>
      </c>
      <c r="K113" s="87"/>
      <c r="L113" s="54"/>
      <c r="M113" s="33"/>
      <c r="N113" s="33"/>
      <c r="O113" s="33"/>
      <c r="P113" s="33"/>
      <c r="Q113" s="33"/>
      <c r="R113" s="33"/>
      <c r="S113" s="33"/>
      <c r="T113" s="33"/>
    </row>
    <row r="114" spans="1:20" ht="36.75" customHeight="1" x14ac:dyDescent="0.25">
      <c r="A114" s="160"/>
      <c r="B114" s="163" t="s">
        <v>33</v>
      </c>
      <c r="C114" s="156"/>
      <c r="D114" s="157"/>
      <c r="E114" s="22">
        <f t="shared" si="11"/>
        <v>363.643197017452</v>
      </c>
      <c r="F114" s="22"/>
      <c r="G114" s="22">
        <v>363.643197017452</v>
      </c>
      <c r="H114" s="22">
        <f t="shared" si="12"/>
        <v>65.389830000000003</v>
      </c>
      <c r="I114" s="22"/>
      <c r="J114" s="106">
        <f>65389.83/1000</f>
        <v>65.389830000000003</v>
      </c>
      <c r="K114" s="33"/>
      <c r="L114" s="54"/>
      <c r="M114" s="33"/>
      <c r="N114" s="33"/>
      <c r="O114" s="33"/>
      <c r="P114" s="33"/>
      <c r="Q114" s="33"/>
      <c r="R114" s="33"/>
      <c r="S114" s="33"/>
      <c r="T114" s="33"/>
    </row>
    <row r="115" spans="1:20" ht="36.75" customHeight="1" thickBot="1" x14ac:dyDescent="0.3">
      <c r="A115" s="161"/>
      <c r="B115" s="164" t="s">
        <v>34</v>
      </c>
      <c r="C115" s="165"/>
      <c r="D115" s="166"/>
      <c r="E115" s="107">
        <f t="shared" si="11"/>
        <v>68.213239999999999</v>
      </c>
      <c r="F115" s="107"/>
      <c r="G115" s="107">
        <f>68213.24/1000</f>
        <v>68.213239999999999</v>
      </c>
      <c r="H115" s="107">
        <f>J115</f>
        <v>89.456140000000005</v>
      </c>
      <c r="I115" s="107"/>
      <c r="J115" s="108">
        <v>89.456140000000005</v>
      </c>
      <c r="K115" s="33"/>
      <c r="L115" s="54"/>
      <c r="M115" s="33"/>
      <c r="N115" s="33"/>
      <c r="O115" s="33"/>
      <c r="P115" s="33"/>
      <c r="Q115" s="33"/>
      <c r="R115" s="33"/>
      <c r="S115" s="33"/>
      <c r="T115" s="33"/>
    </row>
    <row r="116" spans="1:20" ht="33" customHeight="1" x14ac:dyDescent="0.25">
      <c r="A116" s="159" t="s">
        <v>70</v>
      </c>
      <c r="B116" s="162" t="s">
        <v>28</v>
      </c>
      <c r="C116" s="154"/>
      <c r="D116" s="155"/>
      <c r="E116" s="49">
        <f t="shared" ref="E116:E118" si="13">G116</f>
        <v>2.0525545286506497</v>
      </c>
      <c r="F116" s="49"/>
      <c r="G116" s="49">
        <v>2.0525545286506497</v>
      </c>
      <c r="H116" s="49">
        <f t="shared" ref="H116:H117" si="14">J116</f>
        <v>9.0361000000000011</v>
      </c>
      <c r="I116" s="49"/>
      <c r="J116" s="71">
        <v>9.0361000000000011</v>
      </c>
      <c r="K116" s="33"/>
      <c r="L116" s="54"/>
      <c r="M116" s="33"/>
      <c r="N116" s="33"/>
      <c r="O116" s="33"/>
      <c r="P116" s="33"/>
      <c r="Q116" s="33"/>
      <c r="R116" s="33"/>
      <c r="S116" s="33"/>
      <c r="T116" s="33"/>
    </row>
    <row r="117" spans="1:20" ht="29.25" customHeight="1" x14ac:dyDescent="0.25">
      <c r="A117" s="160"/>
      <c r="B117" s="163" t="s">
        <v>33</v>
      </c>
      <c r="C117" s="156"/>
      <c r="D117" s="157"/>
      <c r="E117" s="22">
        <f t="shared" si="13"/>
        <v>8.1137939062752196</v>
      </c>
      <c r="F117" s="22"/>
      <c r="G117" s="22">
        <v>8.1137939062752196</v>
      </c>
      <c r="H117" s="22">
        <f t="shared" si="14"/>
        <v>2.7913999999999999</v>
      </c>
      <c r="I117" s="22"/>
      <c r="J117" s="106">
        <v>2.7913999999999999</v>
      </c>
      <c r="K117" s="33"/>
      <c r="L117" s="54"/>
      <c r="M117" s="33"/>
      <c r="N117" s="33"/>
      <c r="O117" s="33"/>
      <c r="P117" s="33"/>
      <c r="Q117" s="33"/>
      <c r="R117" s="33"/>
      <c r="S117" s="33"/>
      <c r="T117" s="33"/>
    </row>
    <row r="118" spans="1:20" ht="30" customHeight="1" thickBot="1" x14ac:dyDescent="0.3">
      <c r="A118" s="161"/>
      <c r="B118" s="164" t="s">
        <v>34</v>
      </c>
      <c r="C118" s="165"/>
      <c r="D118" s="166"/>
      <c r="E118" s="107">
        <f t="shared" si="13"/>
        <v>1.6611515650741402</v>
      </c>
      <c r="F118" s="107"/>
      <c r="G118" s="107">
        <v>1.6611515650741402</v>
      </c>
      <c r="H118" s="107"/>
      <c r="I118" s="107"/>
      <c r="J118" s="108"/>
      <c r="K118" s="33"/>
      <c r="L118" s="54"/>
      <c r="M118" s="33"/>
      <c r="N118" s="33"/>
      <c r="O118" s="33"/>
      <c r="P118" s="33"/>
      <c r="Q118" s="33"/>
      <c r="R118" s="33"/>
      <c r="S118" s="33"/>
      <c r="T118" s="33"/>
    </row>
    <row r="119" spans="1:20" ht="15.75" thickBot="1" x14ac:dyDescent="0.3">
      <c r="A119" s="46" t="s">
        <v>17</v>
      </c>
      <c r="B119" s="193"/>
      <c r="C119" s="194"/>
      <c r="D119" s="195"/>
      <c r="E119" s="29">
        <f>SUM(E49:E118)</f>
        <v>39635.149293179078</v>
      </c>
      <c r="F119" s="29"/>
      <c r="G119" s="29">
        <f>SUM(G49:G118)</f>
        <v>39635.149293179078</v>
      </c>
      <c r="H119" s="29">
        <f>SUM(H49:H118)</f>
        <v>16948.064653999994</v>
      </c>
      <c r="I119" s="29"/>
      <c r="J119" s="52">
        <f>SUM(J49:J118)</f>
        <v>16948.064653999994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28.5" customHeight="1" thickBot="1" x14ac:dyDescent="0.3">
      <c r="A120" s="11" t="s">
        <v>26</v>
      </c>
      <c r="B120" s="190"/>
      <c r="C120" s="191"/>
      <c r="D120" s="192"/>
      <c r="E120" s="26">
        <f>E47+E119</f>
        <v>44578.516541835175</v>
      </c>
      <c r="F120" s="26"/>
      <c r="G120" s="26">
        <f>G47+G119</f>
        <v>44578.516541835175</v>
      </c>
      <c r="H120" s="26">
        <f>H47+H119</f>
        <v>18745.210973999994</v>
      </c>
      <c r="I120" s="23"/>
      <c r="J120" s="27">
        <f>J47+J119</f>
        <v>18745.210973999994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 x14ac:dyDescent="0.25">
      <c r="A121" s="103"/>
      <c r="B121" s="60"/>
      <c r="C121" s="60"/>
      <c r="D121" s="36"/>
      <c r="E121" s="40"/>
      <c r="F121" s="34"/>
      <c r="G121" s="54"/>
      <c r="H121" s="34"/>
      <c r="I121" s="34"/>
      <c r="J121" s="53"/>
      <c r="K121" s="34"/>
      <c r="L121" s="53"/>
      <c r="M121" s="34"/>
      <c r="N121" s="55"/>
      <c r="P121" s="55"/>
    </row>
    <row r="122" spans="1:20" ht="18" customHeight="1" x14ac:dyDescent="0.25">
      <c r="A122" s="38" t="s">
        <v>21</v>
      </c>
      <c r="B122" s="36"/>
      <c r="C122" s="36"/>
      <c r="D122" s="36"/>
      <c r="E122" s="40" t="s">
        <v>23</v>
      </c>
      <c r="F122" s="34"/>
    </row>
    <row r="123" spans="1:20" x14ac:dyDescent="0.25">
      <c r="A123" s="38"/>
      <c r="B123" s="39"/>
      <c r="C123" s="39"/>
      <c r="D123" s="36"/>
      <c r="E123" s="36"/>
      <c r="F123" s="34"/>
    </row>
    <row r="124" spans="1:20" ht="6.75" hidden="1" customHeight="1" x14ac:dyDescent="0.25">
      <c r="A124" s="38"/>
      <c r="B124" s="39"/>
      <c r="C124" s="39"/>
      <c r="D124" s="36"/>
      <c r="E124" s="36"/>
      <c r="F124" s="34"/>
    </row>
    <row r="125" spans="1:20" x14ac:dyDescent="0.25">
      <c r="A125" s="14"/>
      <c r="B125" s="35"/>
      <c r="C125" s="35"/>
      <c r="D125" s="13"/>
      <c r="E125" s="13"/>
      <c r="F125" s="34"/>
    </row>
    <row r="126" spans="1:20" x14ac:dyDescent="0.25">
      <c r="A126" s="14" t="s">
        <v>42</v>
      </c>
      <c r="B126" s="35"/>
      <c r="C126" s="35"/>
      <c r="D126" s="13"/>
      <c r="E126" s="35" t="s">
        <v>22</v>
      </c>
      <c r="F126" s="34"/>
    </row>
    <row r="127" spans="1:20" x14ac:dyDescent="0.25">
      <c r="A127" s="8"/>
      <c r="B127" s="8"/>
      <c r="C127" s="8"/>
      <c r="D127" s="8"/>
      <c r="E127" s="8"/>
      <c r="F127" s="8"/>
    </row>
    <row r="128" spans="1:20" x14ac:dyDescent="0.25">
      <c r="A128" s="8"/>
      <c r="B128" s="8"/>
      <c r="C128" s="8"/>
      <c r="D128" s="8"/>
      <c r="E128" s="8"/>
      <c r="F128" s="8"/>
    </row>
  </sheetData>
  <mergeCells count="137">
    <mergeCell ref="B24:D24"/>
    <mergeCell ref="B25:D25"/>
    <mergeCell ref="A26:A28"/>
    <mergeCell ref="B28:D28"/>
    <mergeCell ref="A29:A31"/>
    <mergeCell ref="B29:D29"/>
    <mergeCell ref="B30:D30"/>
    <mergeCell ref="B23:D23"/>
    <mergeCell ref="B31:D31"/>
    <mergeCell ref="B26:D26"/>
    <mergeCell ref="A99:A101"/>
    <mergeCell ref="B99:D99"/>
    <mergeCell ref="B107:D107"/>
    <mergeCell ref="B108:D108"/>
    <mergeCell ref="D80:D85"/>
    <mergeCell ref="B100:D100"/>
    <mergeCell ref="B101:D101"/>
    <mergeCell ref="A102:A104"/>
    <mergeCell ref="B102:D102"/>
    <mergeCell ref="B103:D103"/>
    <mergeCell ref="B92:D92"/>
    <mergeCell ref="C80:C85"/>
    <mergeCell ref="A54:A55"/>
    <mergeCell ref="B104:D104"/>
    <mergeCell ref="B106:D106"/>
    <mergeCell ref="B120:D120"/>
    <mergeCell ref="B119:D119"/>
    <mergeCell ref="B109:B111"/>
    <mergeCell ref="C109:C111"/>
    <mergeCell ref="D109:D111"/>
    <mergeCell ref="B69:D69"/>
    <mergeCell ref="B74:D74"/>
    <mergeCell ref="A70:A72"/>
    <mergeCell ref="B70:D70"/>
    <mergeCell ref="B71:D71"/>
    <mergeCell ref="B72:D72"/>
    <mergeCell ref="A73:A75"/>
    <mergeCell ref="B93:D93"/>
    <mergeCell ref="B113:D113"/>
    <mergeCell ref="A109:A115"/>
    <mergeCell ref="B114:D114"/>
    <mergeCell ref="B115:D115"/>
    <mergeCell ref="A80:A94"/>
    <mergeCell ref="B118:D118"/>
    <mergeCell ref="A96:A98"/>
    <mergeCell ref="B98:D98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B16:D16"/>
    <mergeCell ref="B17:D17"/>
    <mergeCell ref="B47:D47"/>
    <mergeCell ref="A48:J48"/>
    <mergeCell ref="B19:D19"/>
    <mergeCell ref="A9:A11"/>
    <mergeCell ref="B73:D73"/>
    <mergeCell ref="B33:D33"/>
    <mergeCell ref="B34:D34"/>
    <mergeCell ref="A35:A37"/>
    <mergeCell ref="B35:D35"/>
    <mergeCell ref="A23:A25"/>
    <mergeCell ref="B43:D43"/>
    <mergeCell ref="A32:A34"/>
    <mergeCell ref="B32:D32"/>
    <mergeCell ref="B36:D36"/>
    <mergeCell ref="B37:D37"/>
    <mergeCell ref="B50:D50"/>
    <mergeCell ref="B51:D51"/>
    <mergeCell ref="B65:D65"/>
    <mergeCell ref="B44:B45"/>
    <mergeCell ref="C44:C45"/>
    <mergeCell ref="A49:A51"/>
    <mergeCell ref="A12:A14"/>
    <mergeCell ref="B9:D9"/>
    <mergeCell ref="B10:D10"/>
    <mergeCell ref="B11:D11"/>
    <mergeCell ref="B12:D12"/>
    <mergeCell ref="B13:D13"/>
    <mergeCell ref="B14:D14"/>
    <mergeCell ref="B15:D15"/>
    <mergeCell ref="A15:A17"/>
    <mergeCell ref="A18:A19"/>
    <mergeCell ref="A44:A46"/>
    <mergeCell ref="B80:B85"/>
    <mergeCell ref="B91:D91"/>
    <mergeCell ref="B89:D89"/>
    <mergeCell ref="A76:A79"/>
    <mergeCell ref="B88:D88"/>
    <mergeCell ref="B66:D66"/>
    <mergeCell ref="B67:D67"/>
    <mergeCell ref="B90:D90"/>
    <mergeCell ref="A66:A68"/>
    <mergeCell ref="B68:D68"/>
    <mergeCell ref="B77:D77"/>
    <mergeCell ref="B78:D78"/>
    <mergeCell ref="B75:D75"/>
    <mergeCell ref="B27:D27"/>
    <mergeCell ref="A38:A40"/>
    <mergeCell ref="B38:D38"/>
    <mergeCell ref="B39:D39"/>
    <mergeCell ref="B40:D40"/>
    <mergeCell ref="D44:D45"/>
    <mergeCell ref="B49:D49"/>
    <mergeCell ref="A56:A58"/>
    <mergeCell ref="B56:D56"/>
    <mergeCell ref="A41:A43"/>
    <mergeCell ref="B41:D41"/>
    <mergeCell ref="B42:D42"/>
    <mergeCell ref="B21:D21"/>
    <mergeCell ref="B22:D22"/>
    <mergeCell ref="A21:A22"/>
    <mergeCell ref="A105:A108"/>
    <mergeCell ref="A116:A118"/>
    <mergeCell ref="B116:D116"/>
    <mergeCell ref="B117:D117"/>
    <mergeCell ref="B96:D96"/>
    <mergeCell ref="B97:D97"/>
    <mergeCell ref="B57:D57"/>
    <mergeCell ref="B58:D58"/>
    <mergeCell ref="A60:A62"/>
    <mergeCell ref="B60:D60"/>
    <mergeCell ref="B61:D61"/>
    <mergeCell ref="B62:D62"/>
    <mergeCell ref="B94:D94"/>
    <mergeCell ref="B79:D79"/>
    <mergeCell ref="A63:A65"/>
    <mergeCell ref="B63:D63"/>
    <mergeCell ref="B64:D64"/>
    <mergeCell ref="A52:A53"/>
  </mergeCells>
  <pageMargins left="0.51181102362204722" right="0" top="0.55118110236220474" bottom="0.35433070866141736" header="0.31496062992125984" footer="0.31496062992125984"/>
  <pageSetup paperSize="9" scale="59" fitToHeight="0" orientation="landscape" r:id="rId1"/>
  <rowBreaks count="5" manualBreakCount="5">
    <brk id="28" max="9" man="1"/>
    <brk id="55" max="9" man="1"/>
    <brk id="75" max="9" man="1"/>
    <brk id="98" max="9" man="1"/>
    <brk id="1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ИП 2012-2018</vt:lpstr>
      <vt:lpstr>ИП 2019-2024</vt:lpstr>
      <vt:lpstr>'ИП 2019-2024'!Заголовки_для_печати</vt:lpstr>
      <vt:lpstr>'ИП 2012-2018'!Область_печати</vt:lpstr>
      <vt:lpstr>'ИП 2019-2024'!Область_печати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2020-05-15T10:25:22Z</dcterms:modified>
</cp:coreProperties>
</file>