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за 2014г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3"/>
  <c r="F10"/>
  <c r="E10"/>
  <c r="D10"/>
  <c r="C10"/>
  <c r="C5"/>
  <c r="D5"/>
  <c r="E5"/>
  <c r="F5"/>
  <c r="G5"/>
  <c r="H5"/>
  <c r="I5"/>
  <c r="J5"/>
  <c r="K5"/>
  <c r="L5"/>
  <c r="M5"/>
  <c r="N5"/>
  <c r="O5"/>
  <c r="R8" i="2" l="1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7"/>
  <c r="H18"/>
  <c r="G18"/>
  <c r="C57"/>
  <c r="D57"/>
  <c r="E57"/>
  <c r="F57"/>
  <c r="G57"/>
  <c r="H57"/>
  <c r="I57"/>
  <c r="J57"/>
  <c r="K57"/>
  <c r="L57"/>
  <c r="M57"/>
  <c r="N57"/>
  <c r="R57"/>
  <c r="O8"/>
  <c r="O9"/>
  <c r="O10"/>
  <c r="O11"/>
  <c r="O12"/>
  <c r="O13"/>
  <c r="O14"/>
  <c r="O15"/>
  <c r="O16"/>
  <c r="O17"/>
  <c r="O18"/>
  <c r="O57" s="1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7"/>
  <c r="D55"/>
  <c r="D54"/>
  <c r="D53"/>
  <c r="D52"/>
  <c r="D21"/>
  <c r="D20"/>
  <c r="D19"/>
  <c r="D12"/>
  <c r="D18"/>
  <c r="D11"/>
  <c r="D10"/>
  <c r="D9"/>
  <c r="D7"/>
  <c r="D14"/>
  <c r="D13"/>
  <c r="D15"/>
  <c r="D16"/>
  <c r="D37"/>
  <c r="D8"/>
  <c r="D28"/>
  <c r="D26"/>
  <c r="D27"/>
  <c r="D50"/>
  <c r="D49"/>
  <c r="D48"/>
  <c r="D47"/>
  <c r="D45"/>
  <c r="D44"/>
  <c r="D38"/>
  <c r="D25"/>
  <c r="D24"/>
  <c r="D43"/>
  <c r="D42"/>
  <c r="D23"/>
  <c r="D22"/>
  <c r="D41"/>
  <c r="D40"/>
  <c r="D39"/>
  <c r="D36"/>
  <c r="D35"/>
  <c r="D34"/>
  <c r="D33"/>
  <c r="D32"/>
  <c r="D31"/>
  <c r="E45"/>
  <c r="D30"/>
  <c r="D29"/>
  <c r="E55"/>
  <c r="E54"/>
  <c r="E53"/>
  <c r="E52"/>
  <c r="E21"/>
  <c r="E20"/>
  <c r="E19"/>
  <c r="E12"/>
  <c r="E18"/>
  <c r="E11"/>
  <c r="E10"/>
  <c r="E9"/>
  <c r="E7"/>
  <c r="E14"/>
  <c r="E13"/>
  <c r="E15"/>
  <c r="E16"/>
  <c r="E37"/>
  <c r="E8"/>
  <c r="E28"/>
  <c r="E26"/>
  <c r="E27"/>
  <c r="E50"/>
  <c r="E49"/>
  <c r="E48"/>
  <c r="E47"/>
  <c r="E44"/>
  <c r="E38"/>
  <c r="E25"/>
  <c r="E24"/>
  <c r="E43"/>
  <c r="E42"/>
  <c r="E23"/>
  <c r="E22"/>
  <c r="E41"/>
  <c r="E40"/>
  <c r="E39"/>
  <c r="E36"/>
  <c r="E35"/>
  <c r="E34"/>
  <c r="E33"/>
  <c r="E32"/>
  <c r="E31"/>
  <c r="E30"/>
  <c r="E29"/>
  <c r="F55"/>
  <c r="F54"/>
  <c r="F53"/>
  <c r="F52"/>
  <c r="F17"/>
  <c r="F21"/>
  <c r="F20"/>
  <c r="F19"/>
  <c r="F12"/>
  <c r="F18"/>
  <c r="F11"/>
  <c r="F10"/>
  <c r="F9"/>
  <c r="F7"/>
  <c r="F14"/>
  <c r="F13"/>
  <c r="F15"/>
  <c r="F16"/>
  <c r="F37"/>
  <c r="F8"/>
  <c r="F28"/>
  <c r="F26"/>
  <c r="F27"/>
  <c r="F50"/>
  <c r="F49"/>
  <c r="F48"/>
  <c r="F47"/>
  <c r="F45"/>
  <c r="F44"/>
  <c r="F38"/>
  <c r="F25"/>
  <c r="F24"/>
  <c r="F43"/>
  <c r="F42"/>
  <c r="F23"/>
  <c r="F22"/>
  <c r="F41"/>
  <c r="F40"/>
  <c r="F39"/>
  <c r="F36"/>
  <c r="F35"/>
  <c r="F34"/>
  <c r="F33"/>
  <c r="F32"/>
  <c r="F31"/>
  <c r="F30"/>
  <c r="F29"/>
  <c r="G46"/>
  <c r="G55"/>
  <c r="G54"/>
  <c r="G53"/>
  <c r="G52"/>
  <c r="G17"/>
  <c r="G21"/>
  <c r="G20"/>
  <c r="G19"/>
  <c r="G12"/>
  <c r="G11"/>
  <c r="G10"/>
  <c r="G9"/>
  <c r="G7"/>
  <c r="G14"/>
  <c r="G13"/>
  <c r="G15"/>
  <c r="G16"/>
  <c r="G37"/>
  <c r="G8"/>
  <c r="G28"/>
  <c r="G26"/>
  <c r="G27"/>
  <c r="G50"/>
  <c r="G49"/>
  <c r="G48"/>
  <c r="G47"/>
  <c r="G45"/>
  <c r="G44"/>
  <c r="G38"/>
  <c r="G25"/>
  <c r="G24"/>
  <c r="G43"/>
  <c r="G42"/>
  <c r="G23"/>
  <c r="G22"/>
  <c r="G41"/>
  <c r="G40"/>
  <c r="G39"/>
  <c r="G36"/>
  <c r="G35"/>
  <c r="G34"/>
  <c r="G33"/>
  <c r="G32"/>
  <c r="G31"/>
  <c r="G30"/>
  <c r="G29"/>
  <c r="H46"/>
  <c r="H55"/>
  <c r="H54"/>
  <c r="I53"/>
  <c r="H53"/>
  <c r="H52"/>
  <c r="H21"/>
  <c r="H20"/>
  <c r="H19"/>
  <c r="H12"/>
  <c r="H11"/>
  <c r="H10"/>
  <c r="H9"/>
  <c r="H7"/>
  <c r="H14"/>
  <c r="H13"/>
  <c r="H15"/>
  <c r="H16"/>
  <c r="H37"/>
  <c r="H8"/>
  <c r="H28"/>
  <c r="H26"/>
  <c r="H27"/>
  <c r="H50"/>
  <c r="H49"/>
  <c r="H48"/>
  <c r="H47"/>
  <c r="H45"/>
  <c r="H44"/>
  <c r="H38"/>
  <c r="H25"/>
  <c r="H24"/>
  <c r="H43"/>
  <c r="H42"/>
  <c r="H23"/>
  <c r="H22"/>
  <c r="H41"/>
  <c r="H40"/>
  <c r="H39"/>
  <c r="H36"/>
  <c r="H35"/>
  <c r="H34"/>
  <c r="H33"/>
  <c r="H32"/>
  <c r="H31"/>
  <c r="H30"/>
  <c r="H29"/>
  <c r="I56"/>
  <c r="I46"/>
  <c r="I55"/>
  <c r="I54"/>
  <c r="I52"/>
  <c r="I17"/>
  <c r="I21"/>
  <c r="I20"/>
  <c r="I19"/>
  <c r="I12"/>
  <c r="I18"/>
  <c r="I11"/>
  <c r="I10"/>
  <c r="I9"/>
  <c r="I7"/>
  <c r="I14"/>
  <c r="I13"/>
  <c r="I15"/>
  <c r="I16"/>
  <c r="I37"/>
  <c r="I8"/>
  <c r="I28"/>
  <c r="I26"/>
  <c r="I27"/>
  <c r="I50"/>
  <c r="I49"/>
  <c r="I48"/>
  <c r="I47"/>
  <c r="I45"/>
  <c r="I44"/>
  <c r="I38"/>
  <c r="I25"/>
  <c r="I24"/>
  <c r="I43"/>
  <c r="I42"/>
  <c r="I23"/>
  <c r="I22"/>
  <c r="I40"/>
  <c r="I41"/>
  <c r="I39"/>
  <c r="I36"/>
  <c r="I35"/>
  <c r="I34"/>
  <c r="I33"/>
  <c r="I32"/>
  <c r="I31"/>
  <c r="I30"/>
  <c r="I29"/>
  <c r="J56"/>
  <c r="J46"/>
  <c r="J55"/>
  <c r="J54"/>
  <c r="J53"/>
  <c r="J52"/>
  <c r="J17"/>
  <c r="J21"/>
  <c r="J20"/>
  <c r="J19"/>
  <c r="J12"/>
  <c r="J18"/>
  <c r="J11"/>
  <c r="J10"/>
  <c r="J9"/>
  <c r="J7"/>
  <c r="J14"/>
  <c r="J13"/>
  <c r="J15"/>
  <c r="J16"/>
  <c r="J37"/>
  <c r="J8"/>
  <c r="J28"/>
  <c r="J26"/>
  <c r="J27"/>
  <c r="J50"/>
  <c r="J49"/>
  <c r="J48"/>
  <c r="J47"/>
  <c r="J45"/>
  <c r="J44"/>
  <c r="J38" l="1"/>
  <c r="J25"/>
  <c r="J24"/>
  <c r="J43"/>
  <c r="J42"/>
  <c r="J23"/>
  <c r="J22"/>
  <c r="J41"/>
  <c r="J40"/>
  <c r="J39"/>
  <c r="J36"/>
  <c r="J35"/>
  <c r="J34"/>
  <c r="J33"/>
  <c r="J32"/>
  <c r="J31"/>
  <c r="J30"/>
  <c r="J29"/>
  <c r="K56"/>
  <c r="K46"/>
  <c r="K55"/>
  <c r="K54"/>
  <c r="K53"/>
  <c r="K52"/>
  <c r="K21"/>
  <c r="K20"/>
  <c r="K19"/>
  <c r="K12"/>
  <c r="K18"/>
  <c r="K11"/>
  <c r="K10"/>
  <c r="K9"/>
  <c r="K7"/>
  <c r="K14"/>
  <c r="K13"/>
  <c r="K15"/>
  <c r="K16"/>
  <c r="K37"/>
  <c r="K8"/>
  <c r="K28"/>
  <c r="K26"/>
  <c r="K27"/>
  <c r="K50"/>
  <c r="K47"/>
  <c r="K38"/>
  <c r="K44"/>
  <c r="K25"/>
  <c r="K24"/>
  <c r="K43"/>
  <c r="K42"/>
  <c r="K23"/>
  <c r="K22"/>
  <c r="K41"/>
  <c r="K40"/>
  <c r="K39"/>
  <c r="K36"/>
  <c r="K35"/>
  <c r="K34"/>
  <c r="K33"/>
  <c r="K32"/>
  <c r="K31"/>
  <c r="K30"/>
  <c r="K29"/>
  <c r="L56"/>
  <c r="L46"/>
  <c r="L55"/>
  <c r="L54"/>
  <c r="L53"/>
  <c r="L52"/>
  <c r="L17"/>
  <c r="L21"/>
  <c r="L20"/>
  <c r="L19"/>
  <c r="L12"/>
  <c r="L18"/>
  <c r="L11"/>
  <c r="L10"/>
  <c r="L9"/>
  <c r="L7"/>
  <c r="L14"/>
  <c r="L13"/>
  <c r="L15"/>
  <c r="L16"/>
  <c r="L37"/>
  <c r="L8"/>
  <c r="L28"/>
  <c r="L26"/>
  <c r="L27"/>
  <c r="L50"/>
  <c r="L47"/>
  <c r="L45"/>
  <c r="L44"/>
  <c r="L38"/>
  <c r="L25"/>
  <c r="L24"/>
  <c r="L43"/>
  <c r="L42"/>
  <c r="L23"/>
  <c r="L22"/>
  <c r="L41"/>
  <c r="L40"/>
  <c r="L39"/>
  <c r="L36"/>
  <c r="L35"/>
  <c r="L34"/>
  <c r="L33"/>
  <c r="L32"/>
  <c r="L31"/>
  <c r="L30"/>
  <c r="L29"/>
  <c r="M51"/>
  <c r="M56"/>
  <c r="M46"/>
  <c r="M55"/>
  <c r="M54"/>
  <c r="M53"/>
  <c r="M52"/>
  <c r="M19"/>
  <c r="M12"/>
  <c r="M18"/>
  <c r="M11"/>
  <c r="M10"/>
  <c r="M9"/>
  <c r="M7"/>
  <c r="M14"/>
  <c r="M13"/>
  <c r="M15"/>
  <c r="M16"/>
  <c r="M37"/>
  <c r="M8"/>
  <c r="M28"/>
  <c r="M26"/>
  <c r="M27"/>
  <c r="M50"/>
  <c r="M47"/>
  <c r="M44"/>
  <c r="M38"/>
  <c r="M25"/>
  <c r="M24"/>
  <c r="M43"/>
  <c r="M42"/>
  <c r="M23"/>
  <c r="M22"/>
  <c r="M41"/>
  <c r="M40"/>
  <c r="M39"/>
  <c r="M36"/>
  <c r="M35"/>
  <c r="M34"/>
  <c r="M33"/>
  <c r="M32"/>
  <c r="M31"/>
  <c r="M30"/>
  <c r="M29"/>
  <c r="N51"/>
  <c r="N56"/>
  <c r="N46"/>
  <c r="N55"/>
  <c r="N54"/>
  <c r="N53"/>
  <c r="N52"/>
  <c r="N17"/>
  <c r="N21"/>
  <c r="N20"/>
  <c r="N19"/>
  <c r="N12"/>
  <c r="N18"/>
  <c r="N11"/>
  <c r="N10"/>
  <c r="N9"/>
  <c r="N7"/>
  <c r="N14"/>
  <c r="N13"/>
  <c r="N16"/>
  <c r="N15"/>
  <c r="N37"/>
  <c r="N8"/>
  <c r="N28"/>
  <c r="N26"/>
  <c r="N27"/>
  <c r="N50"/>
  <c r="N47"/>
  <c r="N44"/>
  <c r="N38"/>
  <c r="N25"/>
  <c r="N24"/>
  <c r="N43"/>
  <c r="N42"/>
  <c r="N23"/>
  <c r="N22"/>
  <c r="N41"/>
  <c r="N40"/>
  <c r="N39"/>
  <c r="N36"/>
  <c r="N35"/>
  <c r="N34"/>
  <c r="N33"/>
  <c r="N32"/>
  <c r="N31"/>
  <c r="N30"/>
  <c r="N29"/>
  <c r="C55"/>
  <c r="C54"/>
  <c r="C53"/>
  <c r="C52"/>
  <c r="C17"/>
  <c r="C21"/>
  <c r="C20"/>
  <c r="C19"/>
  <c r="C12"/>
  <c r="C18"/>
  <c r="C11"/>
  <c r="C10"/>
  <c r="C9"/>
  <c r="C7"/>
  <c r="C14"/>
  <c r="C13"/>
  <c r="C15"/>
  <c r="C16"/>
  <c r="C37"/>
  <c r="C8"/>
  <c r="C28"/>
  <c r="C26"/>
  <c r="C27"/>
  <c r="C50"/>
  <c r="C49"/>
  <c r="C48"/>
  <c r="C47"/>
  <c r="C45"/>
  <c r="C44"/>
  <c r="C38"/>
  <c r="C25"/>
  <c r="C24"/>
  <c r="C43"/>
  <c r="C42"/>
  <c r="C23"/>
  <c r="C22"/>
  <c r="C41"/>
  <c r="C40"/>
  <c r="C39"/>
  <c r="C36"/>
  <c r="C35"/>
  <c r="C34"/>
  <c r="C33"/>
  <c r="C32"/>
  <c r="C31"/>
  <c r="C30"/>
  <c r="C29"/>
  <c r="N8" i="1" l="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7"/>
  <c r="H265"/>
  <c r="H256"/>
  <c r="E274"/>
  <c r="G274" s="1"/>
  <c r="H272" s="1"/>
  <c r="E273"/>
  <c r="G273" s="1"/>
  <c r="E268"/>
  <c r="G268" s="1"/>
  <c r="E267"/>
  <c r="G267" s="1"/>
  <c r="E266"/>
  <c r="G266" s="1"/>
  <c r="E260"/>
  <c r="G260" s="1"/>
  <c r="E258"/>
  <c r="G258" s="1"/>
  <c r="E251"/>
  <c r="G251" s="1"/>
  <c r="E249"/>
  <c r="G249" s="1"/>
  <c r="E247"/>
  <c r="G247" s="1"/>
  <c r="E245"/>
  <c r="G245" s="1"/>
  <c r="E243"/>
  <c r="G243" s="1"/>
  <c r="E241"/>
  <c r="G241" s="1"/>
  <c r="E239"/>
  <c r="G239" s="1"/>
  <c r="H238" s="1"/>
  <c r="E236"/>
  <c r="G236" s="1"/>
  <c r="E234"/>
  <c r="G234" s="1"/>
  <c r="E232"/>
  <c r="G232" s="1"/>
  <c r="E230"/>
  <c r="G230" s="1"/>
  <c r="H229" s="1"/>
  <c r="E227"/>
  <c r="G227" s="1"/>
  <c r="E225"/>
  <c r="G225" s="1"/>
  <c r="H224" s="1"/>
  <c r="E219"/>
  <c r="G219" s="1"/>
  <c r="H217" s="1"/>
  <c r="E215"/>
  <c r="G215" s="1"/>
  <c r="E214"/>
  <c r="G214" s="1"/>
  <c r="E213"/>
  <c r="G213" s="1"/>
  <c r="H212" s="1"/>
  <c r="E210"/>
  <c r="G210" s="1"/>
  <c r="E209"/>
  <c r="G209" s="1"/>
  <c r="E208"/>
  <c r="G208" s="1"/>
  <c r="E206"/>
  <c r="G206" s="1"/>
  <c r="E205"/>
  <c r="G205" s="1"/>
  <c r="E197"/>
  <c r="G197" s="1"/>
  <c r="E196"/>
  <c r="G196" s="1"/>
  <c r="E195"/>
  <c r="G195" s="1"/>
  <c r="E194"/>
  <c r="G194" s="1"/>
  <c r="H193" s="1"/>
  <c r="E192"/>
  <c r="G192" s="1"/>
  <c r="E191"/>
  <c r="G191" s="1"/>
  <c r="E189"/>
  <c r="G189" s="1"/>
  <c r="E188"/>
  <c r="G188" s="1"/>
  <c r="E187"/>
  <c r="G187" s="1"/>
  <c r="E186"/>
  <c r="G186" s="1"/>
  <c r="E184"/>
  <c r="G184" s="1"/>
  <c r="E183"/>
  <c r="G183" s="1"/>
  <c r="E181"/>
  <c r="G181" s="1"/>
  <c r="E180"/>
  <c r="G180" s="1"/>
  <c r="E175"/>
  <c r="G175" s="1"/>
  <c r="E173"/>
  <c r="G173" s="1"/>
  <c r="E172"/>
  <c r="G172" s="1"/>
  <c r="E171"/>
  <c r="G171" s="1"/>
  <c r="H170" s="1"/>
  <c r="E166"/>
  <c r="G166" s="1"/>
  <c r="E165"/>
  <c r="G165" s="1"/>
  <c r="H164" s="1"/>
  <c r="E163"/>
  <c r="G163" s="1"/>
  <c r="E162"/>
  <c r="G162" s="1"/>
  <c r="E161"/>
  <c r="G161" s="1"/>
  <c r="E160"/>
  <c r="G160" s="1"/>
  <c r="E155"/>
  <c r="G155" s="1"/>
  <c r="E154"/>
  <c r="G154" s="1"/>
  <c r="E153"/>
  <c r="G153" s="1"/>
  <c r="E152"/>
  <c r="G152" s="1"/>
  <c r="H151" s="1"/>
  <c r="E150"/>
  <c r="G150" s="1"/>
  <c r="E149"/>
  <c r="G149" s="1"/>
  <c r="E148"/>
  <c r="G148" s="1"/>
  <c r="E147"/>
  <c r="G147" s="1"/>
  <c r="E145"/>
  <c r="G145" s="1"/>
  <c r="E144"/>
  <c r="G144" s="1"/>
  <c r="E138"/>
  <c r="G138" s="1"/>
  <c r="E136"/>
  <c r="G136" s="1"/>
  <c r="E135"/>
  <c r="G135" s="1"/>
  <c r="E134"/>
  <c r="G134" s="1"/>
  <c r="E133"/>
  <c r="G133" s="1"/>
  <c r="E132"/>
  <c r="G132" s="1"/>
  <c r="H131" s="1"/>
  <c r="E126"/>
  <c r="G126" s="1"/>
  <c r="E124"/>
  <c r="G124" s="1"/>
  <c r="E122"/>
  <c r="G122" s="1"/>
  <c r="E120"/>
  <c r="G120" s="1"/>
  <c r="E119"/>
  <c r="G119" s="1"/>
  <c r="E118"/>
  <c r="G118" s="1"/>
  <c r="E117"/>
  <c r="G117" s="1"/>
  <c r="E116"/>
  <c r="G116" s="1"/>
  <c r="H115" s="1"/>
  <c r="E114"/>
  <c r="G114" s="1"/>
  <c r="E113"/>
  <c r="G113" s="1"/>
  <c r="E111"/>
  <c r="G111" s="1"/>
  <c r="E110"/>
  <c r="G110" s="1"/>
  <c r="E105"/>
  <c r="G105" s="1"/>
  <c r="E103"/>
  <c r="G103" s="1"/>
  <c r="E101"/>
  <c r="G101" s="1"/>
  <c r="E95"/>
  <c r="G95" s="1"/>
  <c r="E94"/>
  <c r="G94" s="1"/>
  <c r="E92"/>
  <c r="G92" s="1"/>
  <c r="E91"/>
  <c r="G91" s="1"/>
  <c r="E90"/>
  <c r="G90" s="1"/>
  <c r="E89"/>
  <c r="G89" s="1"/>
  <c r="E86"/>
  <c r="G86" s="1"/>
  <c r="E84"/>
  <c r="G84" s="1"/>
  <c r="E79"/>
  <c r="G79" s="1"/>
  <c r="E78"/>
  <c r="G78" s="1"/>
  <c r="E76"/>
  <c r="G76" s="1"/>
  <c r="E75"/>
  <c r="G75" s="1"/>
  <c r="E73"/>
  <c r="G73" s="1"/>
  <c r="E72"/>
  <c r="G72" s="1"/>
  <c r="E71"/>
  <c r="G71" s="1"/>
  <c r="E70"/>
  <c r="G70" s="1"/>
  <c r="E68"/>
  <c r="G68" s="1"/>
  <c r="E67"/>
  <c r="G67" s="1"/>
  <c r="E64"/>
  <c r="G64" s="1"/>
  <c r="E63"/>
  <c r="G63" s="1"/>
  <c r="E62"/>
  <c r="G62" s="1"/>
  <c r="E59"/>
  <c r="G59" s="1"/>
  <c r="E58"/>
  <c r="G58" s="1"/>
  <c r="E57"/>
  <c r="G57" s="1"/>
  <c r="H56" s="1"/>
  <c r="E55"/>
  <c r="G55" s="1"/>
  <c r="E54"/>
  <c r="G54" s="1"/>
  <c r="E52"/>
  <c r="G52" s="1"/>
  <c r="E51"/>
  <c r="G51" s="1"/>
  <c r="E49"/>
  <c r="G49" s="1"/>
  <c r="E48"/>
  <c r="G48" s="1"/>
  <c r="E43"/>
  <c r="G43" s="1"/>
  <c r="E42"/>
  <c r="G42" s="1"/>
  <c r="E41"/>
  <c r="G41" s="1"/>
  <c r="E39"/>
  <c r="G39" s="1"/>
  <c r="E38"/>
  <c r="G38" s="1"/>
  <c r="E36"/>
  <c r="G36" s="1"/>
  <c r="E35"/>
  <c r="G35" s="1"/>
  <c r="E33"/>
  <c r="G33" s="1"/>
  <c r="E32"/>
  <c r="G32" s="1"/>
  <c r="E31"/>
  <c r="G31" s="1"/>
  <c r="E30"/>
  <c r="G30" s="1"/>
  <c r="E28"/>
  <c r="G28" s="1"/>
  <c r="E27"/>
  <c r="G27" s="1"/>
  <c r="E25"/>
  <c r="G25" s="1"/>
  <c r="E24"/>
  <c r="G24" s="1"/>
  <c r="E23"/>
  <c r="G23" s="1"/>
  <c r="E22"/>
  <c r="G22" s="1"/>
  <c r="E19"/>
  <c r="G19" s="1"/>
  <c r="E18"/>
  <c r="G18" s="1"/>
  <c r="E17"/>
  <c r="G17" s="1"/>
  <c r="E14"/>
  <c r="G14" s="1"/>
  <c r="E12"/>
  <c r="G12" s="1"/>
  <c r="E11"/>
  <c r="G11" s="1"/>
  <c r="E10"/>
  <c r="G10" s="1"/>
  <c r="E9"/>
  <c r="G9" s="1"/>
  <c r="E8"/>
  <c r="G8" s="1"/>
  <c r="H21" l="1"/>
  <c r="H26"/>
  <c r="H29"/>
  <c r="H47"/>
  <c r="H50"/>
  <c r="H53"/>
  <c r="H66"/>
  <c r="H69"/>
  <c r="H109"/>
  <c r="H112"/>
  <c r="H143"/>
  <c r="H146"/>
  <c r="H159"/>
  <c r="H179"/>
  <c r="H182"/>
  <c r="H185"/>
  <c r="H190"/>
  <c r="H204"/>
  <c r="H74"/>
  <c r="H77"/>
  <c r="H83"/>
  <c r="H88"/>
  <c r="H93"/>
  <c r="H100"/>
  <c r="H246"/>
  <c r="H34"/>
  <c r="H207"/>
  <c r="H37"/>
  <c r="H40"/>
  <c r="H61"/>
  <c r="H7"/>
  <c r="H16"/>
</calcChain>
</file>

<file path=xl/sharedStrings.xml><?xml version="1.0" encoding="utf-8"?>
<sst xmlns="http://schemas.openxmlformats.org/spreadsheetml/2006/main" count="606" uniqueCount="198">
  <si>
    <t>Дата</t>
  </si>
  <si>
    <t>Заводской</t>
  </si>
  <si>
    <t>Начальные</t>
  </si>
  <si>
    <t>Конечные</t>
  </si>
  <si>
    <t>Раздность</t>
  </si>
  <si>
    <t xml:space="preserve">      </t>
  </si>
  <si>
    <t>Кол-во</t>
  </si>
  <si>
    <t>снятия</t>
  </si>
  <si>
    <t>№ эл.</t>
  </si>
  <si>
    <t>показания</t>
  </si>
  <si>
    <t>показаний</t>
  </si>
  <si>
    <t>трансфор-</t>
  </si>
  <si>
    <t>эл.</t>
  </si>
  <si>
    <t>счетчика</t>
  </si>
  <si>
    <t>приборов</t>
  </si>
  <si>
    <t>мации</t>
  </si>
  <si>
    <t>энергии</t>
  </si>
  <si>
    <t xml:space="preserve">                 ул. Вл. Невского,81</t>
  </si>
  <si>
    <t>Наруж. Осв.</t>
  </si>
  <si>
    <t>Нев.81</t>
  </si>
  <si>
    <t>офис 704606</t>
  </si>
  <si>
    <t xml:space="preserve">                 ул. Мордасовой,3</t>
  </si>
  <si>
    <t>Морд.3а</t>
  </si>
  <si>
    <t xml:space="preserve">                 ул. Мордасовой,3а</t>
  </si>
  <si>
    <t xml:space="preserve">                 ул. Мордасовой,5</t>
  </si>
  <si>
    <t xml:space="preserve">                 ул. Мордасовой,7</t>
  </si>
  <si>
    <t xml:space="preserve">                 ул. Мордасовой,7а</t>
  </si>
  <si>
    <t xml:space="preserve">                 ул. Мордасовой,9</t>
  </si>
  <si>
    <t xml:space="preserve">                 ул. Мордасовой,15</t>
  </si>
  <si>
    <t>Коэфф.</t>
  </si>
  <si>
    <t xml:space="preserve">                 Ленинский пр.,227</t>
  </si>
  <si>
    <t xml:space="preserve">                 ул. Суворова,116</t>
  </si>
  <si>
    <t xml:space="preserve">                 ул. Суворова,116а</t>
  </si>
  <si>
    <t xml:space="preserve">           ул. Калининградская,100</t>
  </si>
  <si>
    <t xml:space="preserve">          ул. Калининградская,100а</t>
  </si>
  <si>
    <t xml:space="preserve">                 ул. Троицкого,3</t>
  </si>
  <si>
    <t xml:space="preserve">                 ул. Троицкого,5</t>
  </si>
  <si>
    <t xml:space="preserve">               ул. Артамонова,34б</t>
  </si>
  <si>
    <t xml:space="preserve">               ул. Артамонова,38б</t>
  </si>
  <si>
    <t xml:space="preserve">              ул. Переверткина,24а</t>
  </si>
  <si>
    <t xml:space="preserve">              ул. Переверткина,31</t>
  </si>
  <si>
    <t xml:space="preserve">            ул. Переверткина,51</t>
  </si>
  <si>
    <t xml:space="preserve">                   ул. Минская,2в</t>
  </si>
  <si>
    <t xml:space="preserve">          ул. Защитников Родины,1а</t>
  </si>
  <si>
    <t xml:space="preserve">            ул. 232 Стр. дивизии,25а</t>
  </si>
  <si>
    <t xml:space="preserve">                ул. Северцова,48</t>
  </si>
  <si>
    <t>пнс37295307</t>
  </si>
  <si>
    <t>пнс120068</t>
  </si>
  <si>
    <t xml:space="preserve">                 ул. Лизюкова,61в</t>
  </si>
  <si>
    <t xml:space="preserve">                 ул. Советская,53</t>
  </si>
  <si>
    <t xml:space="preserve">              ул. Транспортная,65а</t>
  </si>
  <si>
    <t xml:space="preserve">              ул. Транспортная,65</t>
  </si>
  <si>
    <t xml:space="preserve">                 ул. Путиловская,3</t>
  </si>
  <si>
    <t xml:space="preserve">                  пр. Патриотов,22</t>
  </si>
  <si>
    <t xml:space="preserve">                 ул. Пирогова,36</t>
  </si>
  <si>
    <t>кот.567501</t>
  </si>
  <si>
    <t xml:space="preserve">                 ул. 9 Января, 262/1</t>
  </si>
  <si>
    <t xml:space="preserve">                 ул. 9 Января, 262/2</t>
  </si>
  <si>
    <t xml:space="preserve">                 ул. 9 Января, 262/3</t>
  </si>
  <si>
    <t xml:space="preserve">                   ул. Торпедо,24</t>
  </si>
  <si>
    <t xml:space="preserve">                 ул. 9 Января, 262/6</t>
  </si>
  <si>
    <t>лифт. МОП</t>
  </si>
  <si>
    <t xml:space="preserve">                 Электровозная,6</t>
  </si>
  <si>
    <t xml:space="preserve">                 Электровозная,12а</t>
  </si>
  <si>
    <t xml:space="preserve">                 Богатырская, 30</t>
  </si>
  <si>
    <t>Землячки, 43</t>
  </si>
  <si>
    <t xml:space="preserve">                   Моисеева, 33</t>
  </si>
  <si>
    <t xml:space="preserve">                   Моисеева, 35</t>
  </si>
  <si>
    <t xml:space="preserve">                   Моисеева, 37</t>
  </si>
  <si>
    <t xml:space="preserve">                   Моисеева, 61б</t>
  </si>
  <si>
    <t xml:space="preserve">  </t>
  </si>
  <si>
    <t>Разность</t>
  </si>
  <si>
    <t>Фр. Энгельса, 74</t>
  </si>
  <si>
    <t>Летчика Злобина, 20</t>
  </si>
  <si>
    <t>Минина, 2А</t>
  </si>
  <si>
    <t>ул. Вл. Невского,81</t>
  </si>
  <si>
    <t>ул. Мордасовой,3</t>
  </si>
  <si>
    <t xml:space="preserve"> ул. Мордасовой,3а</t>
  </si>
  <si>
    <t xml:space="preserve"> ул. Мордасовой,5</t>
  </si>
  <si>
    <t>ул. Мордасовой,7</t>
  </si>
  <si>
    <t xml:space="preserve"> ул. Мордасовой,7а</t>
  </si>
  <si>
    <t>л. Мордасовой,9</t>
  </si>
  <si>
    <t>л. Мордасовой,15</t>
  </si>
  <si>
    <t>Ленинский пр.,227</t>
  </si>
  <si>
    <t>ул. Суворова,116</t>
  </si>
  <si>
    <t xml:space="preserve"> ул. Суворова,116а</t>
  </si>
  <si>
    <t>ул. Калининградская,100</t>
  </si>
  <si>
    <t xml:space="preserve"> ул. Калининградская,100а</t>
  </si>
  <si>
    <t>ул. Троицкого,3</t>
  </si>
  <si>
    <t>ул. Троицкого,5</t>
  </si>
  <si>
    <t>ул. Артамонова,34б</t>
  </si>
  <si>
    <t>ул. Артамонова,38б</t>
  </si>
  <si>
    <t>ул. Переверткина,24а</t>
  </si>
  <si>
    <t>ул. Переверткина,31</t>
  </si>
  <si>
    <t>ул. Переверткина,51</t>
  </si>
  <si>
    <t>ул. Минская,2в</t>
  </si>
  <si>
    <t>ул. Защитников Родины,1а</t>
  </si>
  <si>
    <t>ул. 232 Стр. дивизии,25а</t>
  </si>
  <si>
    <t>ул. Северцова,48</t>
  </si>
  <si>
    <t>ул. Лизюкова,61в</t>
  </si>
  <si>
    <t>ул. Советская,53</t>
  </si>
  <si>
    <t>ул. Транспортная,65а</t>
  </si>
  <si>
    <t>ул. Транспортная,65</t>
  </si>
  <si>
    <t>ул. Путиловская,3</t>
  </si>
  <si>
    <t>пр. Патриотов,22</t>
  </si>
  <si>
    <t>ул. Пирогова,36</t>
  </si>
  <si>
    <t>ул. 9 Января, 262/1</t>
  </si>
  <si>
    <t>ул. 9 Января, 262/2</t>
  </si>
  <si>
    <t>ул. 9 Января, 262/3</t>
  </si>
  <si>
    <t>ул. Торпедо,24</t>
  </si>
  <si>
    <t>ул. 9 Января, 262/6</t>
  </si>
  <si>
    <t>Электровозная,6</t>
  </si>
  <si>
    <t>Электровозная,12а</t>
  </si>
  <si>
    <t>Богатырская, 30</t>
  </si>
  <si>
    <t>Моисеева, 33</t>
  </si>
  <si>
    <t>Моисеева, 35</t>
  </si>
  <si>
    <t>Моисеева, 37</t>
  </si>
  <si>
    <t>Моисеева, 61б</t>
  </si>
  <si>
    <t>Адрес дома</t>
  </si>
  <si>
    <t>Тариф</t>
  </si>
  <si>
    <t>кол-во эл. энергии в январе 2015, кВТ/ч</t>
  </si>
  <si>
    <t>среднесуточное в январе 2015, кВт/ч</t>
  </si>
  <si>
    <t>Расчет среднесуточного потребления электрической энергии за январь 2015 г.</t>
  </si>
  <si>
    <t>Инженер по учету ресурсов</t>
  </si>
  <si>
    <t>Ряховский В. С.</t>
  </si>
  <si>
    <t>Пирогова д.36</t>
  </si>
  <si>
    <t>Лизюкова д.61в</t>
  </si>
  <si>
    <t>9 Января д.262/1</t>
  </si>
  <si>
    <t>9 Января д.262/2</t>
  </si>
  <si>
    <t>9 Января д.262/3</t>
  </si>
  <si>
    <t>9 Января д.262/6</t>
  </si>
  <si>
    <t>Путиловская д.3</t>
  </si>
  <si>
    <t>Патриотов д.22</t>
  </si>
  <si>
    <t>Транспортная д.65</t>
  </si>
  <si>
    <t>Транспортная д.65а</t>
  </si>
  <si>
    <t>Торпедо д.24</t>
  </si>
  <si>
    <t>Электровозная д.6</t>
  </si>
  <si>
    <t>Электровозная д.12а</t>
  </si>
  <si>
    <t>Богатырская д.30</t>
  </si>
  <si>
    <t>Калининградская д.100</t>
  </si>
  <si>
    <t>Калининградская д.100а</t>
  </si>
  <si>
    <t>Артамонова д.34б</t>
  </si>
  <si>
    <t>Артамонова д.38б</t>
  </si>
  <si>
    <t>232 Стр. дивизии д.25а</t>
  </si>
  <si>
    <t>Защ. Родины д.1а</t>
  </si>
  <si>
    <t>Северцова д.48</t>
  </si>
  <si>
    <t>Вл. Невского д.81</t>
  </si>
  <si>
    <t>Мордасовой д.3</t>
  </si>
  <si>
    <t>Мордасовой д.3а</t>
  </si>
  <si>
    <t>Мордасовой д.5</t>
  </si>
  <si>
    <t>Мордасовой д.7</t>
  </si>
  <si>
    <t>Мордасовой д.7а</t>
  </si>
  <si>
    <t>Мордасовой д.9</t>
  </si>
  <si>
    <t>Мордасовой д.15</t>
  </si>
  <si>
    <t>Советская д.53</t>
  </si>
  <si>
    <t>Переверткина 24а</t>
  </si>
  <si>
    <t>Ленинский пр.227</t>
  </si>
  <si>
    <t>Суворова д.116</t>
  </si>
  <si>
    <t>Суворова д.116а</t>
  </si>
  <si>
    <t>Арх. Троицкого д.3</t>
  </si>
  <si>
    <t>Арх. Троицкого д.5</t>
  </si>
  <si>
    <t>Переверткина д.31</t>
  </si>
  <si>
    <t>Ф.Энгельса д.74</t>
  </si>
  <si>
    <t>Переверткина д.51</t>
  </si>
  <si>
    <t>Минская д.2в</t>
  </si>
  <si>
    <t>Минина 2А</t>
  </si>
  <si>
    <t>Моисеева 33</t>
  </si>
  <si>
    <t>Моисеева 35</t>
  </si>
  <si>
    <t>Моисеева 37</t>
  </si>
  <si>
    <t>Моисеева 61 Б</t>
  </si>
  <si>
    <t>Злобина 20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</si>
  <si>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</si>
  <si>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</si>
  <si>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</si>
  <si>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</si>
  <si>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</si>
  <si>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</si>
  <si>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</si>
  <si>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</si>
  <si>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</si>
  <si>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</si>
  <si>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</si>
  <si>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</si>
  <si>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Переверткина д.31а</t>
  </si>
  <si>
    <t>Минская д.49</t>
  </si>
  <si>
    <t>Минская д.51</t>
  </si>
  <si>
    <t>тариф</t>
  </si>
  <si>
    <t>кол-во дней</t>
  </si>
  <si>
    <t>Адрес</t>
  </si>
  <si>
    <t>№</t>
  </si>
  <si>
    <t>Среднесуточное потребление за 2014г.</t>
  </si>
  <si>
    <t>ИТОГО</t>
  </si>
  <si>
    <t>ИТОГО за 2014, кВт/час</t>
  </si>
  <si>
    <t>Объем электрической энергии потребленной за 2014 год по жилому фонду ООО "ВАТД Домостроитель"</t>
  </si>
  <si>
    <t>НПА</t>
  </si>
  <si>
    <t>Приказ УРТ №50/15 от 12.12.2013г.</t>
  </si>
  <si>
    <t>ИТОГО за 2015, кВт/час</t>
  </si>
  <si>
    <t>Всего за период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</si>
</sst>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sz val="10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0" fillId="0" borderId="7" xfId="0" applyNumberFormat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5" xfId="0" applyFont="1" applyBorder="1"/>
    <xf numFmtId="1" fontId="0" fillId="3" borderId="7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7" xfId="0" applyFont="1" applyBorder="1"/>
    <xf numFmtId="1" fontId="0" fillId="0" borderId="7" xfId="0" applyNumberFormat="1" applyBorder="1" applyAlignment="1">
      <alignment horizontal="center"/>
    </xf>
    <xf numFmtId="0" fontId="4" fillId="0" borderId="7" xfId="0" applyFont="1" applyBorder="1"/>
    <xf numFmtId="0" fontId="3" fillId="0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0" xfId="0" applyBorder="1"/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8" fillId="0" borderId="7" xfId="0" applyNumberFormat="1" applyFont="1" applyBorder="1"/>
    <xf numFmtId="0" fontId="0" fillId="2" borderId="4" xfId="0" applyFill="1" applyBorder="1" applyAlignment="1">
      <alignment horizontal="center"/>
    </xf>
    <xf numFmtId="0" fontId="0" fillId="0" borderId="5" xfId="0" applyFill="1" applyBorder="1"/>
    <xf numFmtId="0" fontId="3" fillId="0" borderId="5" xfId="0" applyFont="1" applyFill="1" applyBorder="1"/>
    <xf numFmtId="0" fontId="0" fillId="0" borderId="7" xfId="0" applyFill="1" applyBorder="1"/>
    <xf numFmtId="1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2" fontId="0" fillId="0" borderId="7" xfId="0" applyNumberForma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7" xfId="0" applyFont="1" applyBorder="1"/>
    <xf numFmtId="2" fontId="0" fillId="0" borderId="7" xfId="0" applyNumberFormat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1" fontId="0" fillId="0" borderId="7" xfId="0" applyNumberFormat="1" applyBorder="1" applyAlignment="1">
      <alignment horizontal="left"/>
    </xf>
    <xf numFmtId="0" fontId="2" fillId="0" borderId="7" xfId="0" applyFont="1" applyBorder="1" applyAlignment="1">
      <alignment horizontal="left"/>
    </xf>
    <xf numFmtId="1" fontId="0" fillId="3" borderId="7" xfId="0" applyNumberForma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7" fillId="0" borderId="7" xfId="0" applyNumberFormat="1" applyFont="1" applyFill="1" applyBorder="1" applyAlignment="1">
      <alignment horizontal="left"/>
    </xf>
    <xf numFmtId="1" fontId="8" fillId="0" borderId="7" xfId="0" applyNumberFormat="1" applyFont="1" applyBorder="1" applyAlignment="1">
      <alignment horizontal="left"/>
    </xf>
    <xf numFmtId="0" fontId="0" fillId="0" borderId="7" xfId="0" applyFill="1" applyBorder="1" applyAlignment="1">
      <alignment horizontal="left"/>
    </xf>
    <xf numFmtId="1" fontId="0" fillId="0" borderId="7" xfId="0" applyNumberFormat="1" applyFill="1" applyBorder="1" applyAlignment="1">
      <alignment horizontal="left"/>
    </xf>
    <xf numFmtId="12" fontId="0" fillId="0" borderId="7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1" fontId="0" fillId="0" borderId="7" xfId="0" applyNumberForma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3" borderId="7" xfId="0" applyNumberForma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0" fillId="2" borderId="7" xfId="0" applyFill="1" applyBorder="1" applyAlignment="1">
      <alignment horizontal="right"/>
    </xf>
    <xf numFmtId="1" fontId="0" fillId="2" borderId="7" xfId="0" applyNumberForma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right"/>
    </xf>
    <xf numFmtId="1" fontId="8" fillId="0" borderId="7" xfId="0" applyNumberFormat="1" applyFont="1" applyBorder="1" applyAlignment="1">
      <alignment horizontal="right"/>
    </xf>
    <xf numFmtId="0" fontId="0" fillId="0" borderId="7" xfId="0" applyFill="1" applyBorder="1" applyAlignment="1">
      <alignment horizontal="right"/>
    </xf>
    <xf numFmtId="1" fontId="0" fillId="0" borderId="7" xfId="0" applyNumberFormat="1" applyFill="1" applyBorder="1" applyAlignment="1">
      <alignment horizontal="right"/>
    </xf>
    <xf numFmtId="12" fontId="0" fillId="0" borderId="7" xfId="0" applyNumberFormat="1" applyBorder="1" applyAlignment="1">
      <alignment horizontal="right"/>
    </xf>
    <xf numFmtId="0" fontId="13" fillId="0" borderId="7" xfId="0" applyFont="1" applyBorder="1"/>
    <xf numFmtId="0" fontId="13" fillId="0" borderId="7" xfId="0" applyFont="1" applyFill="1" applyBorder="1"/>
    <xf numFmtId="0" fontId="12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/>
    <xf numFmtId="2" fontId="14" fillId="0" borderId="7" xfId="0" applyNumberFormat="1" applyFont="1" applyBorder="1"/>
    <xf numFmtId="2" fontId="1" fillId="0" borderId="7" xfId="0" applyNumberFormat="1" applyFont="1" applyBorder="1"/>
    <xf numFmtId="0" fontId="12" fillId="0" borderId="7" xfId="0" applyFont="1" applyFill="1" applyBorder="1" applyAlignment="1">
      <alignment horizontal="center" vertical="center"/>
    </xf>
    <xf numFmtId="2" fontId="0" fillId="0" borderId="7" xfId="0" applyNumberFormat="1" applyFill="1" applyBorder="1"/>
    <xf numFmtId="2" fontId="1" fillId="0" borderId="7" xfId="0" applyNumberFormat="1" applyFont="1" applyFill="1" applyBorder="1"/>
    <xf numFmtId="0" fontId="0" fillId="0" borderId="0" xfId="0" applyFill="1"/>
    <xf numFmtId="0" fontId="1" fillId="0" borderId="7" xfId="0" applyFont="1" applyFill="1" applyBorder="1"/>
    <xf numFmtId="0" fontId="1" fillId="0" borderId="0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/>
    </xf>
    <xf numFmtId="0" fontId="13" fillId="4" borderId="7" xfId="0" applyFont="1" applyFill="1" applyBorder="1"/>
    <xf numFmtId="2" fontId="0" fillId="4" borderId="7" xfId="0" applyNumberFormat="1" applyFill="1" applyBorder="1"/>
    <xf numFmtId="2" fontId="1" fillId="4" borderId="7" xfId="0" applyNumberFormat="1" applyFont="1" applyFill="1" applyBorder="1"/>
    <xf numFmtId="0" fontId="0" fillId="4" borderId="7" xfId="0" applyFill="1" applyBorder="1"/>
    <xf numFmtId="0" fontId="0" fillId="4" borderId="0" xfId="0" applyFill="1"/>
    <xf numFmtId="2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15" fillId="0" borderId="7" xfId="0" applyFont="1" applyFill="1" applyBorder="1"/>
    <xf numFmtId="0" fontId="1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0"/>
  <sheetViews>
    <sheetView topLeftCell="B1" workbookViewId="0">
      <selection activeCell="H61" sqref="H61"/>
    </sheetView>
  </sheetViews>
  <sheetFormatPr defaultRowHeight="15"/>
  <cols>
    <col min="1" max="1" width="10.85546875" customWidth="1"/>
    <col min="2" max="2" width="19.7109375" customWidth="1"/>
    <col min="3" max="3" width="11.7109375" customWidth="1"/>
    <col min="4" max="7" width="11.85546875" customWidth="1"/>
    <col min="8" max="8" width="9.140625" style="64"/>
    <col min="11" max="11" width="25.5703125" style="68" customWidth="1"/>
    <col min="12" max="12" width="13.140625" style="81" customWidth="1"/>
    <col min="13" max="13" width="12.7109375" customWidth="1"/>
    <col min="14" max="14" width="14" customWidth="1"/>
    <col min="258" max="258" width="10.85546875" customWidth="1"/>
    <col min="259" max="259" width="19.7109375" customWidth="1"/>
    <col min="260" max="260" width="11.7109375" customWidth="1"/>
    <col min="261" max="264" width="11.85546875" customWidth="1"/>
    <col min="514" max="514" width="10.85546875" customWidth="1"/>
    <col min="515" max="515" width="19.7109375" customWidth="1"/>
    <col min="516" max="516" width="11.7109375" customWidth="1"/>
    <col min="517" max="520" width="11.85546875" customWidth="1"/>
    <col min="770" max="770" width="10.85546875" customWidth="1"/>
    <col min="771" max="771" width="19.7109375" customWidth="1"/>
    <col min="772" max="772" width="11.7109375" customWidth="1"/>
    <col min="773" max="776" width="11.85546875" customWidth="1"/>
    <col min="1026" max="1026" width="10.85546875" customWidth="1"/>
    <col min="1027" max="1027" width="19.7109375" customWidth="1"/>
    <col min="1028" max="1028" width="11.7109375" customWidth="1"/>
    <col min="1029" max="1032" width="11.85546875" customWidth="1"/>
    <col min="1282" max="1282" width="10.85546875" customWidth="1"/>
    <col min="1283" max="1283" width="19.7109375" customWidth="1"/>
    <col min="1284" max="1284" width="11.7109375" customWidth="1"/>
    <col min="1285" max="1288" width="11.85546875" customWidth="1"/>
    <col min="1538" max="1538" width="10.85546875" customWidth="1"/>
    <col min="1539" max="1539" width="19.7109375" customWidth="1"/>
    <col min="1540" max="1540" width="11.7109375" customWidth="1"/>
    <col min="1541" max="1544" width="11.85546875" customWidth="1"/>
    <col min="1794" max="1794" width="10.85546875" customWidth="1"/>
    <col min="1795" max="1795" width="19.7109375" customWidth="1"/>
    <col min="1796" max="1796" width="11.7109375" customWidth="1"/>
    <col min="1797" max="1800" width="11.85546875" customWidth="1"/>
    <col min="2050" max="2050" width="10.85546875" customWidth="1"/>
    <col min="2051" max="2051" width="19.7109375" customWidth="1"/>
    <col min="2052" max="2052" width="11.7109375" customWidth="1"/>
    <col min="2053" max="2056" width="11.85546875" customWidth="1"/>
    <col min="2306" max="2306" width="10.85546875" customWidth="1"/>
    <col min="2307" max="2307" width="19.7109375" customWidth="1"/>
    <col min="2308" max="2308" width="11.7109375" customWidth="1"/>
    <col min="2309" max="2312" width="11.85546875" customWidth="1"/>
    <col min="2562" max="2562" width="10.85546875" customWidth="1"/>
    <col min="2563" max="2563" width="19.7109375" customWidth="1"/>
    <col min="2564" max="2564" width="11.7109375" customWidth="1"/>
    <col min="2565" max="2568" width="11.85546875" customWidth="1"/>
    <col min="2818" max="2818" width="10.85546875" customWidth="1"/>
    <col min="2819" max="2819" width="19.7109375" customWidth="1"/>
    <col min="2820" max="2820" width="11.7109375" customWidth="1"/>
    <col min="2821" max="2824" width="11.85546875" customWidth="1"/>
    <col min="3074" max="3074" width="10.85546875" customWidth="1"/>
    <col min="3075" max="3075" width="19.7109375" customWidth="1"/>
    <col min="3076" max="3076" width="11.7109375" customWidth="1"/>
    <col min="3077" max="3080" width="11.85546875" customWidth="1"/>
    <col min="3330" max="3330" width="10.85546875" customWidth="1"/>
    <col min="3331" max="3331" width="19.7109375" customWidth="1"/>
    <col min="3332" max="3332" width="11.7109375" customWidth="1"/>
    <col min="3333" max="3336" width="11.85546875" customWidth="1"/>
    <col min="3586" max="3586" width="10.85546875" customWidth="1"/>
    <col min="3587" max="3587" width="19.7109375" customWidth="1"/>
    <col min="3588" max="3588" width="11.7109375" customWidth="1"/>
    <col min="3589" max="3592" width="11.85546875" customWidth="1"/>
    <col min="3842" max="3842" width="10.85546875" customWidth="1"/>
    <col min="3843" max="3843" width="19.7109375" customWidth="1"/>
    <col min="3844" max="3844" width="11.7109375" customWidth="1"/>
    <col min="3845" max="3848" width="11.85546875" customWidth="1"/>
    <col min="4098" max="4098" width="10.85546875" customWidth="1"/>
    <col min="4099" max="4099" width="19.7109375" customWidth="1"/>
    <col min="4100" max="4100" width="11.7109375" customWidth="1"/>
    <col min="4101" max="4104" width="11.85546875" customWidth="1"/>
    <col min="4354" max="4354" width="10.85546875" customWidth="1"/>
    <col min="4355" max="4355" width="19.7109375" customWidth="1"/>
    <col min="4356" max="4356" width="11.7109375" customWidth="1"/>
    <col min="4357" max="4360" width="11.85546875" customWidth="1"/>
    <col min="4610" max="4610" width="10.85546875" customWidth="1"/>
    <col min="4611" max="4611" width="19.7109375" customWidth="1"/>
    <col min="4612" max="4612" width="11.7109375" customWidth="1"/>
    <col min="4613" max="4616" width="11.85546875" customWidth="1"/>
    <col min="4866" max="4866" width="10.85546875" customWidth="1"/>
    <col min="4867" max="4867" width="19.7109375" customWidth="1"/>
    <col min="4868" max="4868" width="11.7109375" customWidth="1"/>
    <col min="4869" max="4872" width="11.85546875" customWidth="1"/>
    <col min="5122" max="5122" width="10.85546875" customWidth="1"/>
    <col min="5123" max="5123" width="19.7109375" customWidth="1"/>
    <col min="5124" max="5124" width="11.7109375" customWidth="1"/>
    <col min="5125" max="5128" width="11.85546875" customWidth="1"/>
    <col min="5378" max="5378" width="10.85546875" customWidth="1"/>
    <col min="5379" max="5379" width="19.7109375" customWidth="1"/>
    <col min="5380" max="5380" width="11.7109375" customWidth="1"/>
    <col min="5381" max="5384" width="11.85546875" customWidth="1"/>
    <col min="5634" max="5634" width="10.85546875" customWidth="1"/>
    <col min="5635" max="5635" width="19.7109375" customWidth="1"/>
    <col min="5636" max="5636" width="11.7109375" customWidth="1"/>
    <col min="5637" max="5640" width="11.85546875" customWidth="1"/>
    <col min="5890" max="5890" width="10.85546875" customWidth="1"/>
    <col min="5891" max="5891" width="19.7109375" customWidth="1"/>
    <col min="5892" max="5892" width="11.7109375" customWidth="1"/>
    <col min="5893" max="5896" width="11.85546875" customWidth="1"/>
    <col min="6146" max="6146" width="10.85546875" customWidth="1"/>
    <col min="6147" max="6147" width="19.7109375" customWidth="1"/>
    <col min="6148" max="6148" width="11.7109375" customWidth="1"/>
    <col min="6149" max="6152" width="11.85546875" customWidth="1"/>
    <col min="6402" max="6402" width="10.85546875" customWidth="1"/>
    <col min="6403" max="6403" width="19.7109375" customWidth="1"/>
    <col min="6404" max="6404" width="11.7109375" customWidth="1"/>
    <col min="6405" max="6408" width="11.85546875" customWidth="1"/>
    <col min="6658" max="6658" width="10.85546875" customWidth="1"/>
    <col min="6659" max="6659" width="19.7109375" customWidth="1"/>
    <col min="6660" max="6660" width="11.7109375" customWidth="1"/>
    <col min="6661" max="6664" width="11.85546875" customWidth="1"/>
    <col min="6914" max="6914" width="10.85546875" customWidth="1"/>
    <col min="6915" max="6915" width="19.7109375" customWidth="1"/>
    <col min="6916" max="6916" width="11.7109375" customWidth="1"/>
    <col min="6917" max="6920" width="11.85546875" customWidth="1"/>
    <col min="7170" max="7170" width="10.85546875" customWidth="1"/>
    <col min="7171" max="7171" width="19.7109375" customWidth="1"/>
    <col min="7172" max="7172" width="11.7109375" customWidth="1"/>
    <col min="7173" max="7176" width="11.85546875" customWidth="1"/>
    <col min="7426" max="7426" width="10.85546875" customWidth="1"/>
    <col min="7427" max="7427" width="19.7109375" customWidth="1"/>
    <col min="7428" max="7428" width="11.7109375" customWidth="1"/>
    <col min="7429" max="7432" width="11.85546875" customWidth="1"/>
    <col min="7682" max="7682" width="10.85546875" customWidth="1"/>
    <col min="7683" max="7683" width="19.7109375" customWidth="1"/>
    <col min="7684" max="7684" width="11.7109375" customWidth="1"/>
    <col min="7685" max="7688" width="11.85546875" customWidth="1"/>
    <col min="7938" max="7938" width="10.85546875" customWidth="1"/>
    <col min="7939" max="7939" width="19.7109375" customWidth="1"/>
    <col min="7940" max="7940" width="11.7109375" customWidth="1"/>
    <col min="7941" max="7944" width="11.85546875" customWidth="1"/>
    <col min="8194" max="8194" width="10.85546875" customWidth="1"/>
    <col min="8195" max="8195" width="19.7109375" customWidth="1"/>
    <col min="8196" max="8196" width="11.7109375" customWidth="1"/>
    <col min="8197" max="8200" width="11.85546875" customWidth="1"/>
    <col min="8450" max="8450" width="10.85546875" customWidth="1"/>
    <col min="8451" max="8451" width="19.7109375" customWidth="1"/>
    <col min="8452" max="8452" width="11.7109375" customWidth="1"/>
    <col min="8453" max="8456" width="11.85546875" customWidth="1"/>
    <col min="8706" max="8706" width="10.85546875" customWidth="1"/>
    <col min="8707" max="8707" width="19.7109375" customWidth="1"/>
    <col min="8708" max="8708" width="11.7109375" customWidth="1"/>
    <col min="8709" max="8712" width="11.85546875" customWidth="1"/>
    <col min="8962" max="8962" width="10.85546875" customWidth="1"/>
    <col min="8963" max="8963" width="19.7109375" customWidth="1"/>
    <col min="8964" max="8964" width="11.7109375" customWidth="1"/>
    <col min="8965" max="8968" width="11.85546875" customWidth="1"/>
    <col min="9218" max="9218" width="10.85546875" customWidth="1"/>
    <col min="9219" max="9219" width="19.7109375" customWidth="1"/>
    <col min="9220" max="9220" width="11.7109375" customWidth="1"/>
    <col min="9221" max="9224" width="11.85546875" customWidth="1"/>
    <col min="9474" max="9474" width="10.85546875" customWidth="1"/>
    <col min="9475" max="9475" width="19.7109375" customWidth="1"/>
    <col min="9476" max="9476" width="11.7109375" customWidth="1"/>
    <col min="9477" max="9480" width="11.85546875" customWidth="1"/>
    <col min="9730" max="9730" width="10.85546875" customWidth="1"/>
    <col min="9731" max="9731" width="19.7109375" customWidth="1"/>
    <col min="9732" max="9732" width="11.7109375" customWidth="1"/>
    <col min="9733" max="9736" width="11.85546875" customWidth="1"/>
    <col min="9986" max="9986" width="10.85546875" customWidth="1"/>
    <col min="9987" max="9987" width="19.7109375" customWidth="1"/>
    <col min="9988" max="9988" width="11.7109375" customWidth="1"/>
    <col min="9989" max="9992" width="11.85546875" customWidth="1"/>
    <col min="10242" max="10242" width="10.85546875" customWidth="1"/>
    <col min="10243" max="10243" width="19.7109375" customWidth="1"/>
    <col min="10244" max="10244" width="11.7109375" customWidth="1"/>
    <col min="10245" max="10248" width="11.85546875" customWidth="1"/>
    <col min="10498" max="10498" width="10.85546875" customWidth="1"/>
    <col min="10499" max="10499" width="19.7109375" customWidth="1"/>
    <col min="10500" max="10500" width="11.7109375" customWidth="1"/>
    <col min="10501" max="10504" width="11.85546875" customWidth="1"/>
    <col min="10754" max="10754" width="10.85546875" customWidth="1"/>
    <col min="10755" max="10755" width="19.7109375" customWidth="1"/>
    <col min="10756" max="10756" width="11.7109375" customWidth="1"/>
    <col min="10757" max="10760" width="11.85546875" customWidth="1"/>
    <col min="11010" max="11010" width="10.85546875" customWidth="1"/>
    <col min="11011" max="11011" width="19.7109375" customWidth="1"/>
    <col min="11012" max="11012" width="11.7109375" customWidth="1"/>
    <col min="11013" max="11016" width="11.85546875" customWidth="1"/>
    <col min="11266" max="11266" width="10.85546875" customWidth="1"/>
    <col min="11267" max="11267" width="19.7109375" customWidth="1"/>
    <col min="11268" max="11268" width="11.7109375" customWidth="1"/>
    <col min="11269" max="11272" width="11.85546875" customWidth="1"/>
    <col min="11522" max="11522" width="10.85546875" customWidth="1"/>
    <col min="11523" max="11523" width="19.7109375" customWidth="1"/>
    <col min="11524" max="11524" width="11.7109375" customWidth="1"/>
    <col min="11525" max="11528" width="11.85546875" customWidth="1"/>
    <col min="11778" max="11778" width="10.85546875" customWidth="1"/>
    <col min="11779" max="11779" width="19.7109375" customWidth="1"/>
    <col min="11780" max="11780" width="11.7109375" customWidth="1"/>
    <col min="11781" max="11784" width="11.85546875" customWidth="1"/>
    <col min="12034" max="12034" width="10.85546875" customWidth="1"/>
    <col min="12035" max="12035" width="19.7109375" customWidth="1"/>
    <col min="12036" max="12036" width="11.7109375" customWidth="1"/>
    <col min="12037" max="12040" width="11.85546875" customWidth="1"/>
    <col min="12290" max="12290" width="10.85546875" customWidth="1"/>
    <col min="12291" max="12291" width="19.7109375" customWidth="1"/>
    <col min="12292" max="12292" width="11.7109375" customWidth="1"/>
    <col min="12293" max="12296" width="11.85546875" customWidth="1"/>
    <col min="12546" max="12546" width="10.85546875" customWidth="1"/>
    <col min="12547" max="12547" width="19.7109375" customWidth="1"/>
    <col min="12548" max="12548" width="11.7109375" customWidth="1"/>
    <col min="12549" max="12552" width="11.85546875" customWidth="1"/>
    <col min="12802" max="12802" width="10.85546875" customWidth="1"/>
    <col min="12803" max="12803" width="19.7109375" customWidth="1"/>
    <col min="12804" max="12804" width="11.7109375" customWidth="1"/>
    <col min="12805" max="12808" width="11.85546875" customWidth="1"/>
    <col min="13058" max="13058" width="10.85546875" customWidth="1"/>
    <col min="13059" max="13059" width="19.7109375" customWidth="1"/>
    <col min="13060" max="13060" width="11.7109375" customWidth="1"/>
    <col min="13061" max="13064" width="11.85546875" customWidth="1"/>
    <col min="13314" max="13314" width="10.85546875" customWidth="1"/>
    <col min="13315" max="13315" width="19.7109375" customWidth="1"/>
    <col min="13316" max="13316" width="11.7109375" customWidth="1"/>
    <col min="13317" max="13320" width="11.85546875" customWidth="1"/>
    <col min="13570" max="13570" width="10.85546875" customWidth="1"/>
    <col min="13571" max="13571" width="19.7109375" customWidth="1"/>
    <col min="13572" max="13572" width="11.7109375" customWidth="1"/>
    <col min="13573" max="13576" width="11.85546875" customWidth="1"/>
    <col min="13826" max="13826" width="10.85546875" customWidth="1"/>
    <col min="13827" max="13827" width="19.7109375" customWidth="1"/>
    <col min="13828" max="13828" width="11.7109375" customWidth="1"/>
    <col min="13829" max="13832" width="11.85546875" customWidth="1"/>
    <col min="14082" max="14082" width="10.85546875" customWidth="1"/>
    <col min="14083" max="14083" width="19.7109375" customWidth="1"/>
    <col min="14084" max="14084" width="11.7109375" customWidth="1"/>
    <col min="14085" max="14088" width="11.85546875" customWidth="1"/>
    <col min="14338" max="14338" width="10.85546875" customWidth="1"/>
    <col min="14339" max="14339" width="19.7109375" customWidth="1"/>
    <col min="14340" max="14340" width="11.7109375" customWidth="1"/>
    <col min="14341" max="14344" width="11.85546875" customWidth="1"/>
    <col min="14594" max="14594" width="10.85546875" customWidth="1"/>
    <col min="14595" max="14595" width="19.7109375" customWidth="1"/>
    <col min="14596" max="14596" width="11.7109375" customWidth="1"/>
    <col min="14597" max="14600" width="11.85546875" customWidth="1"/>
    <col min="14850" max="14850" width="10.85546875" customWidth="1"/>
    <col min="14851" max="14851" width="19.7109375" customWidth="1"/>
    <col min="14852" max="14852" width="11.7109375" customWidth="1"/>
    <col min="14853" max="14856" width="11.85546875" customWidth="1"/>
    <col min="15106" max="15106" width="10.85546875" customWidth="1"/>
    <col min="15107" max="15107" width="19.7109375" customWidth="1"/>
    <col min="15108" max="15108" width="11.7109375" customWidth="1"/>
    <col min="15109" max="15112" width="11.85546875" customWidth="1"/>
    <col min="15362" max="15362" width="10.85546875" customWidth="1"/>
    <col min="15363" max="15363" width="19.7109375" customWidth="1"/>
    <col min="15364" max="15364" width="11.7109375" customWidth="1"/>
    <col min="15365" max="15368" width="11.85546875" customWidth="1"/>
    <col min="15618" max="15618" width="10.85546875" customWidth="1"/>
    <col min="15619" max="15619" width="19.7109375" customWidth="1"/>
    <col min="15620" max="15620" width="11.7109375" customWidth="1"/>
    <col min="15621" max="15624" width="11.85546875" customWidth="1"/>
    <col min="15874" max="15874" width="10.85546875" customWidth="1"/>
    <col min="15875" max="15875" width="19.7109375" customWidth="1"/>
    <col min="15876" max="15876" width="11.7109375" customWidth="1"/>
    <col min="15877" max="15880" width="11.85546875" customWidth="1"/>
    <col min="16130" max="16130" width="10.85546875" customWidth="1"/>
    <col min="16131" max="16131" width="19.7109375" customWidth="1"/>
    <col min="16132" max="16132" width="11.7109375" customWidth="1"/>
    <col min="16133" max="16136" width="11.85546875" customWidth="1"/>
  </cols>
  <sheetData>
    <row r="1" spans="1:14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K1" s="124" t="s">
        <v>122</v>
      </c>
      <c r="L1" s="124"/>
      <c r="M1" s="124"/>
      <c r="N1" s="124"/>
    </row>
    <row r="2" spans="1:14">
      <c r="A2" s="6"/>
      <c r="B2" s="6"/>
      <c r="C2" s="7"/>
      <c r="D2" s="7"/>
      <c r="E2" s="7"/>
      <c r="F2" s="22"/>
      <c r="G2" s="8"/>
      <c r="K2" s="125"/>
      <c r="L2" s="125"/>
      <c r="M2" s="125"/>
      <c r="N2" s="125"/>
    </row>
    <row r="3" spans="1:14">
      <c r="A3" s="6" t="s">
        <v>7</v>
      </c>
      <c r="B3" s="6" t="s">
        <v>8</v>
      </c>
      <c r="C3" s="7" t="s">
        <v>9</v>
      </c>
      <c r="D3" s="7" t="s">
        <v>9</v>
      </c>
      <c r="E3" s="7" t="s">
        <v>10</v>
      </c>
      <c r="F3" s="7" t="s">
        <v>11</v>
      </c>
      <c r="G3" s="8" t="s">
        <v>12</v>
      </c>
      <c r="K3" s="118" t="s">
        <v>118</v>
      </c>
      <c r="L3" s="121" t="s">
        <v>119</v>
      </c>
      <c r="M3" s="117" t="s">
        <v>120</v>
      </c>
      <c r="N3" s="117" t="s">
        <v>121</v>
      </c>
    </row>
    <row r="4" spans="1:14">
      <c r="A4" s="6"/>
      <c r="B4" s="6"/>
      <c r="C4" s="7"/>
      <c r="D4" s="7"/>
      <c r="E4" s="7"/>
      <c r="F4" s="7"/>
      <c r="G4" s="8"/>
      <c r="K4" s="119"/>
      <c r="L4" s="122"/>
      <c r="M4" s="117"/>
      <c r="N4" s="117"/>
    </row>
    <row r="5" spans="1:14">
      <c r="A5" s="6"/>
      <c r="B5" s="6"/>
      <c r="C5" s="7"/>
      <c r="D5" s="7"/>
      <c r="E5" s="7"/>
      <c r="F5" s="7"/>
      <c r="G5" s="8"/>
      <c r="K5" s="119"/>
      <c r="L5" s="122"/>
      <c r="M5" s="117"/>
      <c r="N5" s="117"/>
    </row>
    <row r="6" spans="1:14" ht="17.25" customHeight="1">
      <c r="A6" s="9" t="s">
        <v>10</v>
      </c>
      <c r="B6" s="9" t="s">
        <v>13</v>
      </c>
      <c r="C6" s="10" t="s">
        <v>14</v>
      </c>
      <c r="D6" s="10" t="s">
        <v>14</v>
      </c>
      <c r="E6" s="10"/>
      <c r="F6" s="10" t="s">
        <v>15</v>
      </c>
      <c r="G6" s="11" t="s">
        <v>16</v>
      </c>
      <c r="K6" s="120"/>
      <c r="L6" s="123"/>
      <c r="M6" s="117"/>
      <c r="N6" s="117"/>
    </row>
    <row r="7" spans="1:14">
      <c r="A7" s="12"/>
      <c r="B7" s="13" t="s">
        <v>17</v>
      </c>
      <c r="C7" s="13"/>
      <c r="D7" s="13"/>
      <c r="E7" s="13"/>
      <c r="F7" s="14"/>
      <c r="G7" s="15"/>
      <c r="H7" s="63">
        <f>G8+G9+G10+G11+G12+G14</f>
        <v>58877</v>
      </c>
      <c r="K7" s="69" t="s">
        <v>75</v>
      </c>
      <c r="L7" s="82">
        <v>3.01</v>
      </c>
      <c r="M7" s="66">
        <v>58877</v>
      </c>
      <c r="N7" s="67">
        <f>M7/31</f>
        <v>1899.258064516129</v>
      </c>
    </row>
    <row r="8" spans="1:14" hidden="1">
      <c r="A8" s="16">
        <v>42024</v>
      </c>
      <c r="B8" s="17">
        <v>139284</v>
      </c>
      <c r="C8" s="18">
        <v>29030</v>
      </c>
      <c r="D8" s="18">
        <v>29340</v>
      </c>
      <c r="E8" s="17">
        <f>D8-C8</f>
        <v>310</v>
      </c>
      <c r="F8" s="17">
        <v>10</v>
      </c>
      <c r="G8" s="17">
        <f>E8*F8</f>
        <v>3100</v>
      </c>
      <c r="K8" s="69">
        <v>139284</v>
      </c>
      <c r="L8" s="82">
        <v>3.01</v>
      </c>
      <c r="M8" s="66"/>
      <c r="N8" s="67">
        <f t="shared" ref="N8:N71" si="0">M8/31</f>
        <v>0</v>
      </c>
    </row>
    <row r="9" spans="1:14" hidden="1">
      <c r="A9" s="16">
        <v>42024</v>
      </c>
      <c r="B9" s="17">
        <v>10060</v>
      </c>
      <c r="C9" s="18">
        <v>70862</v>
      </c>
      <c r="D9" s="18">
        <v>71401</v>
      </c>
      <c r="E9" s="17">
        <f>D9-C9</f>
        <v>539</v>
      </c>
      <c r="F9" s="17">
        <v>40</v>
      </c>
      <c r="G9" s="17">
        <f>E9*F9</f>
        <v>21560</v>
      </c>
      <c r="K9" s="69">
        <v>10060</v>
      </c>
      <c r="L9" s="82">
        <v>3.01</v>
      </c>
      <c r="M9" s="66"/>
      <c r="N9" s="67">
        <f t="shared" si="0"/>
        <v>0</v>
      </c>
    </row>
    <row r="10" spans="1:14" hidden="1">
      <c r="A10" s="16">
        <v>42024</v>
      </c>
      <c r="B10" s="17">
        <v>10001</v>
      </c>
      <c r="C10" s="18">
        <v>23396</v>
      </c>
      <c r="D10" s="18">
        <v>23624</v>
      </c>
      <c r="E10" s="17">
        <f>D10-C10</f>
        <v>228</v>
      </c>
      <c r="F10" s="17">
        <v>10</v>
      </c>
      <c r="G10" s="17">
        <f>E10*F10</f>
        <v>2280</v>
      </c>
      <c r="K10" s="69">
        <v>10001</v>
      </c>
      <c r="L10" s="82">
        <v>3.01</v>
      </c>
      <c r="M10" s="66"/>
      <c r="N10" s="67">
        <f t="shared" si="0"/>
        <v>0</v>
      </c>
    </row>
    <row r="11" spans="1:14" hidden="1">
      <c r="A11" s="16">
        <v>42024</v>
      </c>
      <c r="B11" s="17">
        <v>120130</v>
      </c>
      <c r="C11" s="18">
        <v>65169</v>
      </c>
      <c r="D11" s="18">
        <v>65694</v>
      </c>
      <c r="E11" s="17">
        <f>D11-C11</f>
        <v>525</v>
      </c>
      <c r="F11" s="17">
        <v>60</v>
      </c>
      <c r="G11" s="17">
        <f>E11*F11</f>
        <v>31500</v>
      </c>
      <c r="K11" s="69">
        <v>120130</v>
      </c>
      <c r="L11" s="82">
        <v>3.01</v>
      </c>
      <c r="M11" s="66"/>
      <c r="N11" s="67">
        <f t="shared" si="0"/>
        <v>0</v>
      </c>
    </row>
    <row r="12" spans="1:14" hidden="1">
      <c r="A12" s="17" t="s">
        <v>18</v>
      </c>
      <c r="B12" s="17">
        <v>75243805</v>
      </c>
      <c r="C12" s="19">
        <v>19553</v>
      </c>
      <c r="D12" s="19">
        <v>19941</v>
      </c>
      <c r="E12" s="17">
        <f>D12-C12</f>
        <v>388</v>
      </c>
      <c r="F12" s="17">
        <v>1</v>
      </c>
      <c r="G12" s="17">
        <f>E12*F12</f>
        <v>388</v>
      </c>
      <c r="K12" s="69">
        <v>75243805</v>
      </c>
      <c r="L12" s="82">
        <v>3.01</v>
      </c>
      <c r="M12" s="66"/>
      <c r="N12" s="67">
        <f t="shared" si="0"/>
        <v>0</v>
      </c>
    </row>
    <row r="13" spans="1:14" hidden="1">
      <c r="A13" s="16">
        <v>42024</v>
      </c>
      <c r="B13" s="17"/>
      <c r="C13" s="18"/>
      <c r="D13" s="18"/>
      <c r="E13" s="17"/>
      <c r="F13" s="17"/>
      <c r="G13" s="17"/>
      <c r="K13" s="69"/>
      <c r="L13" s="82">
        <v>3.01</v>
      </c>
      <c r="M13" s="66"/>
      <c r="N13" s="67">
        <f t="shared" si="0"/>
        <v>0</v>
      </c>
    </row>
    <row r="14" spans="1:14" hidden="1">
      <c r="A14" s="17" t="s">
        <v>19</v>
      </c>
      <c r="B14" s="17" t="s">
        <v>20</v>
      </c>
      <c r="C14" s="18">
        <v>5089</v>
      </c>
      <c r="D14" s="18">
        <v>5138</v>
      </c>
      <c r="E14" s="17">
        <f>D14-C14</f>
        <v>49</v>
      </c>
      <c r="F14" s="17">
        <v>1</v>
      </c>
      <c r="G14" s="17">
        <f>E14*F14</f>
        <v>49</v>
      </c>
      <c r="K14" s="69" t="s">
        <v>20</v>
      </c>
      <c r="L14" s="82">
        <v>3.01</v>
      </c>
      <c r="M14" s="66"/>
      <c r="N14" s="67">
        <f t="shared" si="0"/>
        <v>0</v>
      </c>
    </row>
    <row r="15" spans="1:14" hidden="1">
      <c r="A15" s="17"/>
      <c r="B15" s="17"/>
      <c r="C15" s="18"/>
      <c r="D15" s="18"/>
      <c r="E15" s="17"/>
      <c r="F15" s="17"/>
      <c r="G15" s="17"/>
      <c r="K15" s="69"/>
      <c r="L15" s="82">
        <v>3.01</v>
      </c>
      <c r="M15" s="66"/>
      <c r="N15" s="67">
        <f t="shared" si="0"/>
        <v>0</v>
      </c>
    </row>
    <row r="16" spans="1:14">
      <c r="A16" s="12"/>
      <c r="B16" s="13" t="s">
        <v>21</v>
      </c>
      <c r="C16" s="13"/>
      <c r="D16" s="13"/>
      <c r="E16" s="13"/>
      <c r="F16" s="14"/>
      <c r="G16" s="15"/>
      <c r="H16" s="64">
        <f>G17+G18+G19</f>
        <v>41065</v>
      </c>
      <c r="K16" s="69" t="s">
        <v>76</v>
      </c>
      <c r="L16" s="82">
        <v>3.01</v>
      </c>
      <c r="M16" s="66">
        <v>41065</v>
      </c>
      <c r="N16" s="67">
        <f t="shared" si="0"/>
        <v>1324.6774193548388</v>
      </c>
    </row>
    <row r="17" spans="1:14" hidden="1">
      <c r="A17" s="16">
        <v>42024</v>
      </c>
      <c r="B17" s="17">
        <v>36643</v>
      </c>
      <c r="C17" s="18">
        <v>24895</v>
      </c>
      <c r="D17" s="18">
        <v>25164</v>
      </c>
      <c r="E17" s="17">
        <f>D17-C17</f>
        <v>269</v>
      </c>
      <c r="F17" s="17">
        <v>10</v>
      </c>
      <c r="G17" s="17">
        <f>E17*F17</f>
        <v>2690</v>
      </c>
      <c r="K17" s="69">
        <v>36643</v>
      </c>
      <c r="L17" s="82">
        <v>3.01</v>
      </c>
      <c r="M17" s="66"/>
      <c r="N17" s="67">
        <f t="shared" si="0"/>
        <v>0</v>
      </c>
    </row>
    <row r="18" spans="1:14" hidden="1">
      <c r="A18" s="16">
        <v>42024</v>
      </c>
      <c r="B18" s="17">
        <v>43633</v>
      </c>
      <c r="C18" s="18">
        <v>90600</v>
      </c>
      <c r="D18" s="18">
        <v>91406</v>
      </c>
      <c r="E18" s="17">
        <f>D18-C18</f>
        <v>806</v>
      </c>
      <c r="F18" s="17">
        <v>40</v>
      </c>
      <c r="G18" s="17">
        <f>E18*F18</f>
        <v>32240</v>
      </c>
      <c r="K18" s="69">
        <v>43633</v>
      </c>
      <c r="L18" s="82">
        <v>3.01</v>
      </c>
      <c r="M18" s="66"/>
      <c r="N18" s="67">
        <f t="shared" si="0"/>
        <v>0</v>
      </c>
    </row>
    <row r="19" spans="1:14" hidden="1">
      <c r="A19" s="17" t="s">
        <v>18</v>
      </c>
      <c r="B19" s="17">
        <v>302206</v>
      </c>
      <c r="C19" s="18">
        <v>16616</v>
      </c>
      <c r="D19" s="18">
        <v>17025</v>
      </c>
      <c r="E19" s="17">
        <f>D19-C19</f>
        <v>409</v>
      </c>
      <c r="F19" s="17">
        <v>15</v>
      </c>
      <c r="G19" s="17">
        <f>E19*F19</f>
        <v>6135</v>
      </c>
      <c r="K19" s="69">
        <v>302206</v>
      </c>
      <c r="L19" s="82">
        <v>3.01</v>
      </c>
      <c r="M19" s="66"/>
      <c r="N19" s="67">
        <f t="shared" si="0"/>
        <v>0</v>
      </c>
    </row>
    <row r="20" spans="1:14" hidden="1">
      <c r="A20" s="15" t="s">
        <v>22</v>
      </c>
      <c r="B20" s="17"/>
      <c r="C20" s="18"/>
      <c r="D20" s="18"/>
      <c r="E20" s="17"/>
      <c r="F20" s="17"/>
      <c r="G20" s="15"/>
      <c r="K20" s="69"/>
      <c r="L20" s="82">
        <v>3.01</v>
      </c>
      <c r="M20" s="66"/>
      <c r="N20" s="67">
        <f t="shared" si="0"/>
        <v>0</v>
      </c>
    </row>
    <row r="21" spans="1:14">
      <c r="A21" s="12"/>
      <c r="B21" s="13" t="s">
        <v>23</v>
      </c>
      <c r="C21" s="13"/>
      <c r="D21" s="13"/>
      <c r="E21" s="13"/>
      <c r="F21" s="14"/>
      <c r="G21" s="15"/>
      <c r="H21" s="64">
        <f>G22+G23+G24+G25</f>
        <v>37110</v>
      </c>
      <c r="K21" s="69" t="s">
        <v>77</v>
      </c>
      <c r="L21" s="82">
        <v>3.01</v>
      </c>
      <c r="M21" s="66">
        <v>37110</v>
      </c>
      <c r="N21" s="67">
        <f t="shared" si="0"/>
        <v>1197.0967741935483</v>
      </c>
    </row>
    <row r="22" spans="1:14" hidden="1">
      <c r="A22" s="16">
        <v>42024</v>
      </c>
      <c r="B22" s="17">
        <v>537332</v>
      </c>
      <c r="C22" s="18">
        <v>22658</v>
      </c>
      <c r="D22" s="18">
        <v>22905</v>
      </c>
      <c r="E22" s="17">
        <f>D22-C22</f>
        <v>247</v>
      </c>
      <c r="F22" s="17">
        <v>10</v>
      </c>
      <c r="G22" s="17">
        <f>E22*F22</f>
        <v>2470</v>
      </c>
      <c r="K22" s="69">
        <v>537332</v>
      </c>
      <c r="L22" s="82">
        <v>3.01</v>
      </c>
      <c r="M22" s="66"/>
      <c r="N22" s="67">
        <f t="shared" si="0"/>
        <v>0</v>
      </c>
    </row>
    <row r="23" spans="1:14" hidden="1">
      <c r="A23" s="16">
        <v>42024</v>
      </c>
      <c r="B23" s="17">
        <v>461182</v>
      </c>
      <c r="C23" s="18">
        <v>47921</v>
      </c>
      <c r="D23" s="18">
        <v>48422</v>
      </c>
      <c r="E23" s="17">
        <f>D23-C23</f>
        <v>501</v>
      </c>
      <c r="F23" s="17">
        <v>40</v>
      </c>
      <c r="G23" s="17">
        <f>E23*F23</f>
        <v>20040</v>
      </c>
      <c r="K23" s="69">
        <v>461182</v>
      </c>
      <c r="L23" s="82">
        <v>3.01</v>
      </c>
      <c r="M23" s="66"/>
      <c r="N23" s="67">
        <f t="shared" si="0"/>
        <v>0</v>
      </c>
    </row>
    <row r="24" spans="1:14" hidden="1">
      <c r="A24" s="16">
        <v>42024</v>
      </c>
      <c r="B24" s="17">
        <v>537569</v>
      </c>
      <c r="C24" s="18">
        <v>12028</v>
      </c>
      <c r="D24" s="18">
        <v>12180</v>
      </c>
      <c r="E24" s="17">
        <f>D24-C24</f>
        <v>152</v>
      </c>
      <c r="F24" s="17">
        <v>10</v>
      </c>
      <c r="G24" s="17">
        <f>E24*F24</f>
        <v>1520</v>
      </c>
      <c r="K24" s="69">
        <v>537569</v>
      </c>
      <c r="L24" s="82">
        <v>3.01</v>
      </c>
      <c r="M24" s="66"/>
      <c r="N24" s="67">
        <f t="shared" si="0"/>
        <v>0</v>
      </c>
    </row>
    <row r="25" spans="1:14" hidden="1">
      <c r="A25" s="16">
        <v>42024</v>
      </c>
      <c r="B25" s="17">
        <v>537276</v>
      </c>
      <c r="C25" s="18">
        <v>34199</v>
      </c>
      <c r="D25" s="18">
        <v>34526</v>
      </c>
      <c r="E25" s="17">
        <f>D25-C25</f>
        <v>327</v>
      </c>
      <c r="F25" s="17">
        <v>40</v>
      </c>
      <c r="G25" s="17">
        <f>E25*F25</f>
        <v>13080</v>
      </c>
      <c r="K25" s="69">
        <v>537276</v>
      </c>
      <c r="L25" s="82">
        <v>3.01</v>
      </c>
      <c r="M25" s="66"/>
      <c r="N25" s="67">
        <f t="shared" si="0"/>
        <v>0</v>
      </c>
    </row>
    <row r="26" spans="1:14">
      <c r="A26" s="12"/>
      <c r="B26" s="13" t="s">
        <v>24</v>
      </c>
      <c r="C26" s="13"/>
      <c r="D26" s="13"/>
      <c r="E26" s="13"/>
      <c r="F26" s="14"/>
      <c r="G26" s="15"/>
      <c r="H26" s="64">
        <f>G27+G28</f>
        <v>34570</v>
      </c>
      <c r="K26" s="69" t="s">
        <v>78</v>
      </c>
      <c r="L26" s="82">
        <v>3.01</v>
      </c>
      <c r="M26" s="66">
        <v>34570</v>
      </c>
      <c r="N26" s="67">
        <f t="shared" si="0"/>
        <v>1115.1612903225807</v>
      </c>
    </row>
    <row r="27" spans="1:14" hidden="1">
      <c r="A27" s="16">
        <v>42024</v>
      </c>
      <c r="B27" s="17">
        <v>783616</v>
      </c>
      <c r="C27" s="18">
        <v>30926</v>
      </c>
      <c r="D27" s="18">
        <v>31247</v>
      </c>
      <c r="E27" s="17">
        <f>D27-C27</f>
        <v>321</v>
      </c>
      <c r="F27" s="17">
        <v>10</v>
      </c>
      <c r="G27" s="17">
        <f>E27*F27</f>
        <v>3210</v>
      </c>
      <c r="K27" s="69">
        <v>783616</v>
      </c>
      <c r="L27" s="82">
        <v>3.01</v>
      </c>
      <c r="M27" s="66"/>
      <c r="N27" s="67">
        <f t="shared" si="0"/>
        <v>0</v>
      </c>
    </row>
    <row r="28" spans="1:14" hidden="1">
      <c r="A28" s="16">
        <v>42024</v>
      </c>
      <c r="B28" s="17">
        <v>561373</v>
      </c>
      <c r="C28" s="18">
        <v>84551</v>
      </c>
      <c r="D28" s="18">
        <v>85335</v>
      </c>
      <c r="E28" s="17">
        <f>D28-C28</f>
        <v>784</v>
      </c>
      <c r="F28" s="17">
        <v>40</v>
      </c>
      <c r="G28" s="17">
        <f>E28*F28</f>
        <v>31360</v>
      </c>
      <c r="K28" s="69">
        <v>561373</v>
      </c>
      <c r="L28" s="82">
        <v>3.01</v>
      </c>
      <c r="M28" s="66"/>
      <c r="N28" s="67">
        <f t="shared" si="0"/>
        <v>0</v>
      </c>
    </row>
    <row r="29" spans="1:14">
      <c r="A29" s="12"/>
      <c r="B29" s="13" t="s">
        <v>25</v>
      </c>
      <c r="C29" s="13"/>
      <c r="D29" s="13"/>
      <c r="E29" s="13"/>
      <c r="F29" s="14"/>
      <c r="G29" s="15"/>
      <c r="H29" s="64">
        <f>G30+G31+G32+G33</f>
        <v>45180</v>
      </c>
      <c r="K29" s="69" t="s">
        <v>79</v>
      </c>
      <c r="L29" s="82">
        <v>3.01</v>
      </c>
      <c r="M29" s="66">
        <v>45180</v>
      </c>
      <c r="N29" s="67">
        <f t="shared" si="0"/>
        <v>1457.4193548387098</v>
      </c>
    </row>
    <row r="30" spans="1:14" hidden="1">
      <c r="A30" s="16">
        <v>42024</v>
      </c>
      <c r="B30" s="17">
        <v>34424</v>
      </c>
      <c r="C30" s="18">
        <v>24593</v>
      </c>
      <c r="D30" s="18">
        <v>24829</v>
      </c>
      <c r="E30" s="17">
        <f>D30-C30</f>
        <v>236</v>
      </c>
      <c r="F30" s="17">
        <v>10</v>
      </c>
      <c r="G30" s="17">
        <f>E30*F30</f>
        <v>2360</v>
      </c>
      <c r="K30" s="69">
        <v>34424</v>
      </c>
      <c r="L30" s="82">
        <v>3.01</v>
      </c>
      <c r="M30" s="66"/>
      <c r="N30" s="67">
        <f t="shared" si="0"/>
        <v>0</v>
      </c>
    </row>
    <row r="31" spans="1:14" hidden="1">
      <c r="A31" s="16">
        <v>42024</v>
      </c>
      <c r="B31" s="17">
        <v>34425</v>
      </c>
      <c r="C31" s="18">
        <v>57169</v>
      </c>
      <c r="D31" s="18">
        <v>57675</v>
      </c>
      <c r="E31" s="17">
        <f>D31-C31</f>
        <v>506</v>
      </c>
      <c r="F31" s="17">
        <v>40</v>
      </c>
      <c r="G31" s="17">
        <f>E31*F31</f>
        <v>20240</v>
      </c>
      <c r="K31" s="69">
        <v>34425</v>
      </c>
      <c r="L31" s="82">
        <v>3.01</v>
      </c>
      <c r="M31" s="66"/>
      <c r="N31" s="67">
        <f t="shared" si="0"/>
        <v>0</v>
      </c>
    </row>
    <row r="32" spans="1:14" hidden="1">
      <c r="A32" s="16">
        <v>42024</v>
      </c>
      <c r="B32" s="17">
        <v>10095</v>
      </c>
      <c r="C32" s="18">
        <v>24953</v>
      </c>
      <c r="D32" s="18">
        <v>25215</v>
      </c>
      <c r="E32" s="17">
        <f>D32-C32</f>
        <v>262</v>
      </c>
      <c r="F32" s="17">
        <v>10</v>
      </c>
      <c r="G32" s="17">
        <f>E32*F32</f>
        <v>2620</v>
      </c>
      <c r="K32" s="69">
        <v>10095</v>
      </c>
      <c r="L32" s="82">
        <v>3.01</v>
      </c>
      <c r="M32" s="66"/>
      <c r="N32" s="67">
        <f t="shared" si="0"/>
        <v>0</v>
      </c>
    </row>
    <row r="33" spans="1:14" hidden="1">
      <c r="A33" s="16">
        <v>42024</v>
      </c>
      <c r="B33" s="17">
        <v>34988</v>
      </c>
      <c r="C33" s="18">
        <v>57537</v>
      </c>
      <c r="D33" s="18">
        <v>58036</v>
      </c>
      <c r="E33" s="17">
        <f>D33-C33</f>
        <v>499</v>
      </c>
      <c r="F33" s="17">
        <v>40</v>
      </c>
      <c r="G33" s="17">
        <f>E33*F33</f>
        <v>19960</v>
      </c>
      <c r="K33" s="69">
        <v>34988</v>
      </c>
      <c r="L33" s="82">
        <v>3.01</v>
      </c>
      <c r="M33" s="66"/>
      <c r="N33" s="67">
        <f t="shared" si="0"/>
        <v>0</v>
      </c>
    </row>
    <row r="34" spans="1:14" ht="14.25" customHeight="1">
      <c r="A34" s="12"/>
      <c r="B34" s="13" t="s">
        <v>26</v>
      </c>
      <c r="C34" s="13"/>
      <c r="D34" s="13"/>
      <c r="E34" s="13"/>
      <c r="F34" s="14"/>
      <c r="G34" s="15"/>
      <c r="H34" s="64">
        <f>G35+G36</f>
        <v>37320</v>
      </c>
      <c r="K34" s="69" t="s">
        <v>80</v>
      </c>
      <c r="L34" s="82">
        <v>3.01</v>
      </c>
      <c r="M34" s="66">
        <v>37320</v>
      </c>
      <c r="N34" s="67">
        <f t="shared" si="0"/>
        <v>1203.8709677419354</v>
      </c>
    </row>
    <row r="35" spans="1:14" ht="0.75" hidden="1" customHeight="1">
      <c r="A35" s="16">
        <v>42024</v>
      </c>
      <c r="B35" s="17">
        <v>80367</v>
      </c>
      <c r="C35" s="18">
        <v>24921</v>
      </c>
      <c r="D35" s="18">
        <v>25229</v>
      </c>
      <c r="E35" s="17">
        <f>D35-C35</f>
        <v>308</v>
      </c>
      <c r="F35" s="17">
        <v>10</v>
      </c>
      <c r="G35" s="17">
        <f>E35*F35</f>
        <v>3080</v>
      </c>
      <c r="K35" s="69">
        <v>80367</v>
      </c>
      <c r="L35" s="82">
        <v>3.01</v>
      </c>
      <c r="M35" s="66"/>
      <c r="N35" s="67">
        <f t="shared" si="0"/>
        <v>0</v>
      </c>
    </row>
    <row r="36" spans="1:14" hidden="1">
      <c r="A36" s="16">
        <v>42024</v>
      </c>
      <c r="B36" s="17">
        <v>80339</v>
      </c>
      <c r="C36" s="18">
        <v>67647</v>
      </c>
      <c r="D36" s="18">
        <v>68503</v>
      </c>
      <c r="E36" s="17">
        <f>D36-C36</f>
        <v>856</v>
      </c>
      <c r="F36" s="17">
        <v>40</v>
      </c>
      <c r="G36" s="17">
        <f>E36*F36</f>
        <v>34240</v>
      </c>
      <c r="K36" s="69">
        <v>80339</v>
      </c>
      <c r="L36" s="82">
        <v>3.01</v>
      </c>
      <c r="M36" s="66"/>
      <c r="N36" s="67">
        <f t="shared" si="0"/>
        <v>0</v>
      </c>
    </row>
    <row r="37" spans="1:14">
      <c r="A37" s="12"/>
      <c r="B37" s="13" t="s">
        <v>27</v>
      </c>
      <c r="C37" s="13"/>
      <c r="D37" s="13"/>
      <c r="E37" s="13"/>
      <c r="F37" s="14"/>
      <c r="G37" s="15"/>
      <c r="H37" s="64">
        <f>G38+G39</f>
        <v>23890</v>
      </c>
      <c r="K37" s="69" t="s">
        <v>81</v>
      </c>
      <c r="L37" s="82">
        <v>3.01</v>
      </c>
      <c r="M37" s="66">
        <v>23890</v>
      </c>
      <c r="N37" s="67">
        <f t="shared" si="0"/>
        <v>770.64516129032256</v>
      </c>
    </row>
    <row r="38" spans="1:14" hidden="1">
      <c r="A38" s="16">
        <v>42024</v>
      </c>
      <c r="B38" s="17">
        <v>34866</v>
      </c>
      <c r="C38" s="18">
        <v>24247</v>
      </c>
      <c r="D38" s="18">
        <v>24492</v>
      </c>
      <c r="E38" s="17">
        <f>D38-C38</f>
        <v>245</v>
      </c>
      <c r="F38" s="17">
        <v>10</v>
      </c>
      <c r="G38" s="17">
        <f>E38*F38</f>
        <v>2450</v>
      </c>
      <c r="K38" s="69">
        <v>34866</v>
      </c>
      <c r="L38" s="82">
        <v>3.01</v>
      </c>
      <c r="M38" s="66"/>
      <c r="N38" s="67">
        <f t="shared" si="0"/>
        <v>0</v>
      </c>
    </row>
    <row r="39" spans="1:14" hidden="1">
      <c r="A39" s="16">
        <v>42024</v>
      </c>
      <c r="B39" s="17">
        <v>37966</v>
      </c>
      <c r="C39" s="18">
        <v>62703</v>
      </c>
      <c r="D39" s="18">
        <v>63239</v>
      </c>
      <c r="E39" s="17">
        <f>D39-C39</f>
        <v>536</v>
      </c>
      <c r="F39" s="17">
        <v>40</v>
      </c>
      <c r="G39" s="17">
        <f>E39*F39</f>
        <v>21440</v>
      </c>
      <c r="K39" s="69">
        <v>37966</v>
      </c>
      <c r="L39" s="82">
        <v>3.01</v>
      </c>
      <c r="M39" s="66"/>
      <c r="N39" s="67">
        <f t="shared" si="0"/>
        <v>0</v>
      </c>
    </row>
    <row r="40" spans="1:14">
      <c r="A40" s="12"/>
      <c r="B40" s="13" t="s">
        <v>28</v>
      </c>
      <c r="C40" s="13"/>
      <c r="D40" s="13"/>
      <c r="E40" s="13"/>
      <c r="F40" s="14"/>
      <c r="G40" s="15"/>
      <c r="H40" s="64">
        <f>G41+G42+G43</f>
        <v>18684</v>
      </c>
      <c r="K40" s="69" t="s">
        <v>82</v>
      </c>
      <c r="L40" s="82">
        <v>3.01</v>
      </c>
      <c r="M40" s="66">
        <v>18684</v>
      </c>
      <c r="N40" s="67">
        <f t="shared" si="0"/>
        <v>602.70967741935488</v>
      </c>
    </row>
    <row r="41" spans="1:14" ht="0.75" hidden="1" customHeight="1">
      <c r="A41" s="16">
        <v>42024</v>
      </c>
      <c r="B41" s="17">
        <v>311578</v>
      </c>
      <c r="C41" s="18">
        <v>4411</v>
      </c>
      <c r="D41" s="18">
        <v>4467</v>
      </c>
      <c r="E41" s="17">
        <f>D41-C41</f>
        <v>56</v>
      </c>
      <c r="F41" s="17">
        <v>40</v>
      </c>
      <c r="G41" s="17">
        <f>E41*F41</f>
        <v>2240</v>
      </c>
      <c r="K41" s="69">
        <v>311578</v>
      </c>
      <c r="L41" s="82"/>
      <c r="M41" s="66"/>
      <c r="N41" s="67">
        <f t="shared" si="0"/>
        <v>0</v>
      </c>
    </row>
    <row r="42" spans="1:14" hidden="1">
      <c r="A42" s="16">
        <v>42024</v>
      </c>
      <c r="B42" s="17">
        <v>333568</v>
      </c>
      <c r="C42" s="18">
        <v>54628</v>
      </c>
      <c r="D42" s="18">
        <v>55031</v>
      </c>
      <c r="E42" s="17">
        <f>D42-C42</f>
        <v>403</v>
      </c>
      <c r="F42" s="17">
        <v>40</v>
      </c>
      <c r="G42" s="17">
        <f>E42*F42</f>
        <v>16120</v>
      </c>
      <c r="K42" s="69">
        <v>333568</v>
      </c>
      <c r="L42" s="82"/>
      <c r="M42" s="66"/>
      <c r="N42" s="67">
        <f t="shared" si="0"/>
        <v>0</v>
      </c>
    </row>
    <row r="43" spans="1:14" hidden="1">
      <c r="A43" s="16">
        <v>42024</v>
      </c>
      <c r="B43" s="20">
        <v>9131064008281</v>
      </c>
      <c r="C43" s="18">
        <v>3436</v>
      </c>
      <c r="D43" s="18">
        <v>3760</v>
      </c>
      <c r="E43" s="17">
        <f>D43-C43</f>
        <v>324</v>
      </c>
      <c r="F43" s="17">
        <v>1</v>
      </c>
      <c r="G43" s="17">
        <f>E43*F43</f>
        <v>324</v>
      </c>
      <c r="K43" s="70">
        <v>9131064008281</v>
      </c>
      <c r="L43" s="83"/>
      <c r="M43" s="66"/>
      <c r="N43" s="67">
        <f t="shared" si="0"/>
        <v>0</v>
      </c>
    </row>
    <row r="44" spans="1:14" hidden="1">
      <c r="A44" s="2" t="s">
        <v>0</v>
      </c>
      <c r="B44" s="2" t="s">
        <v>1</v>
      </c>
      <c r="C44" s="3" t="s">
        <v>2</v>
      </c>
      <c r="D44" s="4" t="s">
        <v>3</v>
      </c>
      <c r="E44" s="3" t="s">
        <v>4</v>
      </c>
      <c r="F44" s="3" t="s">
        <v>29</v>
      </c>
      <c r="G44" s="5" t="s">
        <v>6</v>
      </c>
      <c r="K44" s="69" t="s">
        <v>1</v>
      </c>
      <c r="L44" s="82"/>
      <c r="M44" s="66"/>
      <c r="N44" s="67">
        <f t="shared" si="0"/>
        <v>0</v>
      </c>
    </row>
    <row r="45" spans="1:14" hidden="1">
      <c r="A45" s="6" t="s">
        <v>7</v>
      </c>
      <c r="B45" s="6" t="s">
        <v>8</v>
      </c>
      <c r="C45" s="7" t="s">
        <v>9</v>
      </c>
      <c r="D45" s="22" t="s">
        <v>9</v>
      </c>
      <c r="E45" s="7" t="s">
        <v>10</v>
      </c>
      <c r="F45" s="7" t="s">
        <v>11</v>
      </c>
      <c r="G45" s="8" t="s">
        <v>12</v>
      </c>
      <c r="K45" s="69" t="s">
        <v>8</v>
      </c>
      <c r="L45" s="82"/>
      <c r="M45" s="66"/>
      <c r="N45" s="67">
        <f t="shared" si="0"/>
        <v>0</v>
      </c>
    </row>
    <row r="46" spans="1:14" hidden="1">
      <c r="A46" s="9" t="s">
        <v>10</v>
      </c>
      <c r="B46" s="9" t="s">
        <v>13</v>
      </c>
      <c r="C46" s="10" t="s">
        <v>14</v>
      </c>
      <c r="D46" s="23" t="s">
        <v>14</v>
      </c>
      <c r="E46" s="10"/>
      <c r="F46" s="10" t="s">
        <v>15</v>
      </c>
      <c r="G46" s="11" t="s">
        <v>16</v>
      </c>
      <c r="K46" s="69" t="s">
        <v>13</v>
      </c>
      <c r="L46" s="82"/>
      <c r="M46" s="66"/>
      <c r="N46" s="67">
        <f t="shared" si="0"/>
        <v>0</v>
      </c>
    </row>
    <row r="47" spans="1:14">
      <c r="A47" s="12"/>
      <c r="B47" s="13" t="s">
        <v>30</v>
      </c>
      <c r="C47" s="24"/>
      <c r="D47" s="13"/>
      <c r="E47" s="13"/>
      <c r="F47" s="14"/>
      <c r="G47" s="15"/>
      <c r="H47" s="64">
        <f>G48+G49</f>
        <v>19880</v>
      </c>
      <c r="K47" s="69" t="s">
        <v>83</v>
      </c>
      <c r="L47" s="82">
        <v>2.1</v>
      </c>
      <c r="M47" s="66">
        <v>19880</v>
      </c>
      <c r="N47" s="67">
        <f t="shared" si="0"/>
        <v>641.29032258064512</v>
      </c>
    </row>
    <row r="48" spans="1:14" hidden="1">
      <c r="A48" s="16">
        <v>42024</v>
      </c>
      <c r="B48" s="17">
        <v>214524</v>
      </c>
      <c r="C48" s="18">
        <v>681</v>
      </c>
      <c r="D48" s="18">
        <v>722</v>
      </c>
      <c r="E48" s="17">
        <f>D48-C48</f>
        <v>41</v>
      </c>
      <c r="F48" s="17">
        <v>40</v>
      </c>
      <c r="G48" s="17">
        <f>E48*F48</f>
        <v>1640</v>
      </c>
      <c r="K48" s="69">
        <v>214524</v>
      </c>
      <c r="L48" s="82"/>
      <c r="M48" s="66"/>
      <c r="N48" s="67">
        <f t="shared" si="0"/>
        <v>0</v>
      </c>
    </row>
    <row r="49" spans="1:14" hidden="1">
      <c r="A49" s="16">
        <v>42024</v>
      </c>
      <c r="B49" s="17">
        <v>1569</v>
      </c>
      <c r="C49" s="18">
        <v>27965</v>
      </c>
      <c r="D49" s="18">
        <v>28421</v>
      </c>
      <c r="E49" s="17">
        <f>D49-C49</f>
        <v>456</v>
      </c>
      <c r="F49" s="17">
        <v>40</v>
      </c>
      <c r="G49" s="17">
        <f>E49*F49</f>
        <v>18240</v>
      </c>
      <c r="K49" s="69">
        <v>1569</v>
      </c>
      <c r="L49" s="82"/>
      <c r="M49" s="66"/>
      <c r="N49" s="67">
        <f t="shared" si="0"/>
        <v>0</v>
      </c>
    </row>
    <row r="50" spans="1:14">
      <c r="A50" s="12"/>
      <c r="B50" s="25" t="s">
        <v>31</v>
      </c>
      <c r="C50" s="13"/>
      <c r="D50" s="13"/>
      <c r="E50" s="13"/>
      <c r="F50" s="14"/>
      <c r="G50" s="15"/>
      <c r="H50" s="64">
        <f>G51+G52</f>
        <v>16755</v>
      </c>
      <c r="K50" s="71" t="s">
        <v>84</v>
      </c>
      <c r="L50" s="84">
        <v>3.01</v>
      </c>
      <c r="M50" s="66">
        <v>16755</v>
      </c>
      <c r="N50" s="67">
        <f t="shared" si="0"/>
        <v>540.48387096774195</v>
      </c>
    </row>
    <row r="51" spans="1:14" hidden="1">
      <c r="A51" s="16">
        <v>42024</v>
      </c>
      <c r="B51" s="17">
        <v>686741</v>
      </c>
      <c r="C51" s="18">
        <v>6613</v>
      </c>
      <c r="D51" s="18">
        <v>6692</v>
      </c>
      <c r="E51" s="17">
        <f>D51-C51</f>
        <v>79</v>
      </c>
      <c r="F51" s="17">
        <v>15</v>
      </c>
      <c r="G51" s="17">
        <f>E51*F51</f>
        <v>1185</v>
      </c>
      <c r="K51" s="69">
        <v>686741</v>
      </c>
      <c r="L51" s="82"/>
      <c r="M51" s="66"/>
      <c r="N51" s="67">
        <f t="shared" si="0"/>
        <v>0</v>
      </c>
    </row>
    <row r="52" spans="1:14" hidden="1">
      <c r="A52" s="16">
        <v>42024</v>
      </c>
      <c r="B52" s="17">
        <v>299326</v>
      </c>
      <c r="C52" s="18">
        <v>1660</v>
      </c>
      <c r="D52" s="18">
        <v>2179</v>
      </c>
      <c r="E52" s="17">
        <f>D52-C52</f>
        <v>519</v>
      </c>
      <c r="F52" s="17">
        <v>30</v>
      </c>
      <c r="G52" s="17">
        <f>E52*F52</f>
        <v>15570</v>
      </c>
      <c r="K52" s="69">
        <v>299326</v>
      </c>
      <c r="L52" s="82"/>
      <c r="M52" s="66"/>
      <c r="N52" s="67">
        <f t="shared" si="0"/>
        <v>0</v>
      </c>
    </row>
    <row r="53" spans="1:14">
      <c r="A53" s="12"/>
      <c r="B53" s="25" t="s">
        <v>32</v>
      </c>
      <c r="C53" s="13"/>
      <c r="D53" s="13"/>
      <c r="E53" s="13"/>
      <c r="F53" s="14"/>
      <c r="G53" s="15"/>
      <c r="H53" s="64">
        <f>G54+G55</f>
        <v>14260</v>
      </c>
      <c r="K53" s="71" t="s">
        <v>85</v>
      </c>
      <c r="L53" s="84">
        <v>3.01</v>
      </c>
      <c r="M53" s="66">
        <v>14260</v>
      </c>
      <c r="N53" s="67">
        <f t="shared" si="0"/>
        <v>460</v>
      </c>
    </row>
    <row r="54" spans="1:14" hidden="1">
      <c r="A54" s="16">
        <v>42024</v>
      </c>
      <c r="B54" s="17">
        <v>112273</v>
      </c>
      <c r="C54" s="18">
        <v>257</v>
      </c>
      <c r="D54" s="18">
        <v>351</v>
      </c>
      <c r="E54" s="17">
        <f>D54-C54</f>
        <v>94</v>
      </c>
      <c r="F54" s="17">
        <v>10</v>
      </c>
      <c r="G54" s="17">
        <f>E54*F54</f>
        <v>940</v>
      </c>
      <c r="K54" s="69">
        <v>112273</v>
      </c>
      <c r="L54" s="82"/>
      <c r="M54" s="66"/>
      <c r="N54" s="67">
        <f t="shared" si="0"/>
        <v>0</v>
      </c>
    </row>
    <row r="55" spans="1:14" hidden="1">
      <c r="A55" s="16">
        <v>42024</v>
      </c>
      <c r="B55" s="17">
        <v>937511</v>
      </c>
      <c r="C55" s="18">
        <v>9335</v>
      </c>
      <c r="D55" s="18">
        <v>9668</v>
      </c>
      <c r="E55" s="17">
        <f>D55-C55</f>
        <v>333</v>
      </c>
      <c r="F55" s="17">
        <v>40</v>
      </c>
      <c r="G55" s="17">
        <f>E55*F55</f>
        <v>13320</v>
      </c>
      <c r="K55" s="69">
        <v>937511</v>
      </c>
      <c r="L55" s="82"/>
      <c r="M55" s="66"/>
      <c r="N55" s="67">
        <f t="shared" si="0"/>
        <v>0</v>
      </c>
    </row>
    <row r="56" spans="1:14">
      <c r="A56" s="12"/>
      <c r="B56" s="13" t="s">
        <v>33</v>
      </c>
      <c r="C56" s="13"/>
      <c r="D56" s="13"/>
      <c r="E56" s="13"/>
      <c r="F56" s="14"/>
      <c r="G56" s="15"/>
      <c r="H56" s="64">
        <f>G57+G58+G59</f>
        <v>16368.999999999818</v>
      </c>
      <c r="K56" s="69" t="s">
        <v>86</v>
      </c>
      <c r="L56" s="82">
        <v>3.01</v>
      </c>
      <c r="M56" s="66">
        <v>16368.999999999818</v>
      </c>
      <c r="N56" s="67">
        <f t="shared" si="0"/>
        <v>528.0322580645103</v>
      </c>
    </row>
    <row r="57" spans="1:14" hidden="1">
      <c r="A57" s="16">
        <v>42024</v>
      </c>
      <c r="B57" s="17">
        <v>537320</v>
      </c>
      <c r="C57" s="18">
        <v>24295.9</v>
      </c>
      <c r="D57" s="18">
        <v>24370.2</v>
      </c>
      <c r="E57" s="17">
        <f>D57-C57</f>
        <v>74.299999999999272</v>
      </c>
      <c r="F57" s="17">
        <v>10</v>
      </c>
      <c r="G57" s="17">
        <f>E57*F57</f>
        <v>742.99999999999272</v>
      </c>
      <c r="K57" s="69">
        <v>537320</v>
      </c>
      <c r="L57" s="82"/>
      <c r="M57" s="66"/>
      <c r="N57" s="67">
        <f t="shared" si="0"/>
        <v>0</v>
      </c>
    </row>
    <row r="58" spans="1:14" hidden="1">
      <c r="A58" s="16">
        <v>42024</v>
      </c>
      <c r="B58" s="17">
        <v>537144</v>
      </c>
      <c r="C58" s="18">
        <v>43887.8</v>
      </c>
      <c r="D58" s="18">
        <v>44391.199999999997</v>
      </c>
      <c r="E58" s="17">
        <f>D58-C58</f>
        <v>503.39999999999418</v>
      </c>
      <c r="F58" s="17">
        <v>30</v>
      </c>
      <c r="G58" s="17">
        <f>E58*F58</f>
        <v>15101.999999999825</v>
      </c>
      <c r="K58" s="69">
        <v>537144</v>
      </c>
      <c r="L58" s="82"/>
      <c r="M58" s="66"/>
      <c r="N58" s="67">
        <f t="shared" si="0"/>
        <v>0</v>
      </c>
    </row>
    <row r="59" spans="1:14" hidden="1">
      <c r="A59" s="16">
        <v>42024</v>
      </c>
      <c r="B59" s="17">
        <v>511815</v>
      </c>
      <c r="C59" s="18">
        <v>54381</v>
      </c>
      <c r="D59" s="18">
        <v>54905</v>
      </c>
      <c r="E59" s="17">
        <f>D59-C59</f>
        <v>524</v>
      </c>
      <c r="F59" s="17">
        <v>1</v>
      </c>
      <c r="G59" s="17">
        <f>E59*F59</f>
        <v>524</v>
      </c>
      <c r="K59" s="69">
        <v>511815</v>
      </c>
      <c r="L59" s="82"/>
      <c r="M59" s="66"/>
      <c r="N59" s="67">
        <f t="shared" si="0"/>
        <v>0</v>
      </c>
    </row>
    <row r="60" spans="1:14" hidden="1">
      <c r="A60" s="17"/>
      <c r="B60" s="17"/>
      <c r="C60" s="18"/>
      <c r="D60" s="18"/>
      <c r="E60" s="17"/>
      <c r="F60" s="17"/>
      <c r="G60" s="17"/>
      <c r="K60" s="69"/>
      <c r="L60" s="82"/>
      <c r="M60" s="66"/>
      <c r="N60" s="67">
        <f t="shared" si="0"/>
        <v>0</v>
      </c>
    </row>
    <row r="61" spans="1:14" ht="14.25" customHeight="1">
      <c r="A61" s="12"/>
      <c r="B61" s="13" t="s">
        <v>34</v>
      </c>
      <c r="C61" s="13"/>
      <c r="D61" s="13"/>
      <c r="E61" s="13"/>
      <c r="F61" s="14"/>
      <c r="G61" s="15"/>
      <c r="H61" s="64">
        <f>G62+G63+G64</f>
        <v>14155.000000000084</v>
      </c>
      <c r="K61" s="69" t="s">
        <v>87</v>
      </c>
      <c r="L61" s="82">
        <v>3.01</v>
      </c>
      <c r="M61" s="66">
        <v>14155.000000000084</v>
      </c>
      <c r="N61" s="67">
        <f t="shared" si="0"/>
        <v>456.61290322580913</v>
      </c>
    </row>
    <row r="62" spans="1:14" hidden="1">
      <c r="A62" s="16">
        <v>42024</v>
      </c>
      <c r="B62" s="17">
        <v>537263</v>
      </c>
      <c r="C62" s="18">
        <v>12028</v>
      </c>
      <c r="D62" s="18">
        <v>12130.9</v>
      </c>
      <c r="E62" s="17">
        <f>D62-C62</f>
        <v>102.89999999999964</v>
      </c>
      <c r="F62" s="17">
        <v>10</v>
      </c>
      <c r="G62" s="17">
        <f>E62*F62</f>
        <v>1028.9999999999964</v>
      </c>
      <c r="K62" s="69">
        <v>537263</v>
      </c>
      <c r="L62" s="82"/>
      <c r="M62" s="66"/>
      <c r="N62" s="67">
        <f t="shared" si="0"/>
        <v>0</v>
      </c>
    </row>
    <row r="63" spans="1:14" hidden="1">
      <c r="A63" s="16">
        <v>42024</v>
      </c>
      <c r="B63" s="17">
        <v>537450</v>
      </c>
      <c r="C63" s="18">
        <v>41016.1</v>
      </c>
      <c r="D63" s="18">
        <v>41436.9</v>
      </c>
      <c r="E63" s="17">
        <f>D63-C63</f>
        <v>420.80000000000291</v>
      </c>
      <c r="F63" s="17">
        <v>30</v>
      </c>
      <c r="G63" s="17">
        <f>E63*F63</f>
        <v>12624.000000000087</v>
      </c>
      <c r="K63" s="69">
        <v>537450</v>
      </c>
      <c r="L63" s="82"/>
      <c r="M63" s="66"/>
      <c r="N63" s="67">
        <f t="shared" si="0"/>
        <v>0</v>
      </c>
    </row>
    <row r="64" spans="1:14" hidden="1">
      <c r="A64" s="16">
        <v>42024</v>
      </c>
      <c r="B64" s="17">
        <v>500696</v>
      </c>
      <c r="C64" s="18">
        <v>57208</v>
      </c>
      <c r="D64" s="18">
        <v>57710</v>
      </c>
      <c r="E64" s="17">
        <f>D64-C64</f>
        <v>502</v>
      </c>
      <c r="F64" s="17">
        <v>1</v>
      </c>
      <c r="G64" s="17">
        <f>E64*F64</f>
        <v>502</v>
      </c>
      <c r="K64" s="69">
        <v>500696</v>
      </c>
      <c r="L64" s="82"/>
      <c r="M64" s="66"/>
      <c r="N64" s="67">
        <f t="shared" si="0"/>
        <v>0</v>
      </c>
    </row>
    <row r="65" spans="1:14" hidden="1">
      <c r="A65" s="17"/>
      <c r="B65" s="17"/>
      <c r="C65" s="18"/>
      <c r="D65" s="18"/>
      <c r="E65" s="17"/>
      <c r="F65" s="17"/>
      <c r="G65" s="17"/>
      <c r="K65" s="69"/>
      <c r="L65" s="82"/>
      <c r="M65" s="66"/>
      <c r="N65" s="67">
        <f t="shared" si="0"/>
        <v>0</v>
      </c>
    </row>
    <row r="66" spans="1:14">
      <c r="A66" s="12"/>
      <c r="B66" s="13" t="s">
        <v>35</v>
      </c>
      <c r="C66" s="13"/>
      <c r="D66" s="13"/>
      <c r="E66" s="13"/>
      <c r="F66" s="14"/>
      <c r="G66" s="15"/>
      <c r="H66" s="64">
        <f>G67+G68</f>
        <v>9790</v>
      </c>
      <c r="K66" s="69" t="s">
        <v>88</v>
      </c>
      <c r="L66" s="82">
        <v>3.01</v>
      </c>
      <c r="M66" s="66">
        <v>9790</v>
      </c>
      <c r="N66" s="67">
        <f t="shared" si="0"/>
        <v>315.80645161290323</v>
      </c>
    </row>
    <row r="67" spans="1:14" hidden="1">
      <c r="A67" s="16">
        <v>42024</v>
      </c>
      <c r="B67" s="17">
        <v>59070</v>
      </c>
      <c r="C67" s="18">
        <v>7802</v>
      </c>
      <c r="D67" s="18">
        <v>7848</v>
      </c>
      <c r="E67" s="17">
        <f>D67-C67</f>
        <v>46</v>
      </c>
      <c r="F67" s="17">
        <v>40</v>
      </c>
      <c r="G67" s="17">
        <f>E67*F67</f>
        <v>1840</v>
      </c>
      <c r="K67" s="69">
        <v>59070</v>
      </c>
      <c r="L67" s="82"/>
      <c r="M67" s="66"/>
      <c r="N67" s="67">
        <f t="shared" si="0"/>
        <v>0</v>
      </c>
    </row>
    <row r="68" spans="1:14" hidden="1">
      <c r="A68" s="16">
        <v>42024</v>
      </c>
      <c r="B68" s="17">
        <v>59916</v>
      </c>
      <c r="C68" s="18">
        <v>47250</v>
      </c>
      <c r="D68" s="18">
        <v>47780</v>
      </c>
      <c r="E68" s="17">
        <f>D68-C68</f>
        <v>530</v>
      </c>
      <c r="F68" s="17">
        <v>15</v>
      </c>
      <c r="G68" s="17">
        <f>E68*F68</f>
        <v>7950</v>
      </c>
      <c r="K68" s="69">
        <v>59916</v>
      </c>
      <c r="L68" s="82"/>
      <c r="M68" s="66"/>
      <c r="N68" s="67">
        <f t="shared" si="0"/>
        <v>0</v>
      </c>
    </row>
    <row r="69" spans="1:14">
      <c r="A69" s="12"/>
      <c r="B69" s="13" t="s">
        <v>36</v>
      </c>
      <c r="C69" s="13"/>
      <c r="D69" s="13"/>
      <c r="E69" s="13"/>
      <c r="F69" s="14"/>
      <c r="G69" s="15"/>
      <c r="H69" s="64">
        <f>G70+G71+G72+G73</f>
        <v>36970</v>
      </c>
      <c r="K69" s="69" t="s">
        <v>89</v>
      </c>
      <c r="L69" s="82">
        <v>3.01</v>
      </c>
      <c r="M69" s="66">
        <v>36970</v>
      </c>
      <c r="N69" s="67">
        <f t="shared" si="0"/>
        <v>1192.5806451612902</v>
      </c>
    </row>
    <row r="70" spans="1:14" hidden="1">
      <c r="A70" s="16">
        <v>42024</v>
      </c>
      <c r="B70" s="17">
        <v>10021</v>
      </c>
      <c r="C70" s="18">
        <v>12937</v>
      </c>
      <c r="D70" s="18">
        <v>13073</v>
      </c>
      <c r="E70" s="17">
        <f>D70-C70</f>
        <v>136</v>
      </c>
      <c r="F70" s="17">
        <v>10</v>
      </c>
      <c r="G70" s="17">
        <f>E70*F70</f>
        <v>1360</v>
      </c>
      <c r="K70" s="69">
        <v>10021</v>
      </c>
      <c r="L70" s="82"/>
      <c r="M70" s="66"/>
      <c r="N70" s="67">
        <f t="shared" si="0"/>
        <v>0</v>
      </c>
    </row>
    <row r="71" spans="1:14" hidden="1">
      <c r="A71" s="16">
        <v>42024</v>
      </c>
      <c r="B71" s="17">
        <v>7436</v>
      </c>
      <c r="C71" s="18">
        <v>51252</v>
      </c>
      <c r="D71" s="18">
        <v>51695</v>
      </c>
      <c r="E71" s="17">
        <f>D71-C71</f>
        <v>443</v>
      </c>
      <c r="F71" s="17">
        <v>40</v>
      </c>
      <c r="G71" s="17">
        <f>E71*F71</f>
        <v>17720</v>
      </c>
      <c r="K71" s="69">
        <v>7436</v>
      </c>
      <c r="L71" s="82"/>
      <c r="M71" s="66"/>
      <c r="N71" s="67">
        <f t="shared" si="0"/>
        <v>0</v>
      </c>
    </row>
    <row r="72" spans="1:14" hidden="1">
      <c r="A72" s="16">
        <v>42024</v>
      </c>
      <c r="B72" s="17">
        <v>1004</v>
      </c>
      <c r="C72" s="18">
        <v>17110</v>
      </c>
      <c r="D72" s="18">
        <v>17287</v>
      </c>
      <c r="E72" s="17">
        <f>D72-C72</f>
        <v>177</v>
      </c>
      <c r="F72" s="17">
        <v>10</v>
      </c>
      <c r="G72" s="17">
        <f>E72*F72</f>
        <v>1770</v>
      </c>
      <c r="K72" s="69">
        <v>1004</v>
      </c>
      <c r="L72" s="82"/>
      <c r="M72" s="66"/>
      <c r="N72" s="67">
        <f t="shared" ref="N72:N135" si="1">M72/31</f>
        <v>0</v>
      </c>
    </row>
    <row r="73" spans="1:14" hidden="1">
      <c r="A73" s="16">
        <v>42024</v>
      </c>
      <c r="B73" s="17">
        <v>10055</v>
      </c>
      <c r="C73" s="18">
        <v>59694</v>
      </c>
      <c r="D73" s="18">
        <v>60097</v>
      </c>
      <c r="E73" s="17">
        <f>D73-C73</f>
        <v>403</v>
      </c>
      <c r="F73" s="17">
        <v>40</v>
      </c>
      <c r="G73" s="17">
        <f>E73*F73</f>
        <v>16120</v>
      </c>
      <c r="K73" s="69">
        <v>10055</v>
      </c>
      <c r="L73" s="82"/>
      <c r="M73" s="66"/>
      <c r="N73" s="67">
        <f t="shared" si="1"/>
        <v>0</v>
      </c>
    </row>
    <row r="74" spans="1:14">
      <c r="A74" s="12"/>
      <c r="B74" s="13" t="s">
        <v>37</v>
      </c>
      <c r="C74" s="13"/>
      <c r="D74" s="13"/>
      <c r="E74" s="13"/>
      <c r="F74" s="14"/>
      <c r="G74" s="15"/>
      <c r="H74" s="64">
        <f>G75+G76</f>
        <v>33700</v>
      </c>
      <c r="K74" s="69" t="s">
        <v>90</v>
      </c>
      <c r="L74" s="82">
        <v>3.01</v>
      </c>
      <c r="M74" s="66">
        <v>33700</v>
      </c>
      <c r="N74" s="67">
        <f t="shared" si="1"/>
        <v>1087.0967741935483</v>
      </c>
    </row>
    <row r="75" spans="1:14" hidden="1">
      <c r="A75" s="16">
        <v>42024</v>
      </c>
      <c r="B75" s="17">
        <v>792825</v>
      </c>
      <c r="C75" s="18">
        <v>29310</v>
      </c>
      <c r="D75" s="18">
        <v>29606</v>
      </c>
      <c r="E75" s="17">
        <f>D75-C75</f>
        <v>296</v>
      </c>
      <c r="F75" s="17">
        <v>20</v>
      </c>
      <c r="G75" s="17">
        <f>E75*F75</f>
        <v>5920</v>
      </c>
      <c r="K75" s="69">
        <v>792825</v>
      </c>
      <c r="L75" s="82"/>
      <c r="M75" s="66"/>
      <c r="N75" s="67">
        <f t="shared" si="1"/>
        <v>0</v>
      </c>
    </row>
    <row r="76" spans="1:14" hidden="1">
      <c r="A76" s="16">
        <v>42024</v>
      </c>
      <c r="B76" s="17">
        <v>8130</v>
      </c>
      <c r="C76" s="18">
        <v>45427</v>
      </c>
      <c r="D76" s="18">
        <v>45890</v>
      </c>
      <c r="E76" s="17">
        <f>D76-C76</f>
        <v>463</v>
      </c>
      <c r="F76" s="17">
        <v>60</v>
      </c>
      <c r="G76" s="17">
        <f>E76*F76</f>
        <v>27780</v>
      </c>
      <c r="K76" s="69">
        <v>8130</v>
      </c>
      <c r="L76" s="82"/>
      <c r="M76" s="66"/>
      <c r="N76" s="67">
        <f t="shared" si="1"/>
        <v>0</v>
      </c>
    </row>
    <row r="77" spans="1:14">
      <c r="A77" s="12"/>
      <c r="B77" s="13" t="s">
        <v>38</v>
      </c>
      <c r="C77" s="13"/>
      <c r="D77" s="13"/>
      <c r="E77" s="13"/>
      <c r="F77" s="14"/>
      <c r="G77" s="15"/>
      <c r="H77" s="64">
        <f>G78+G79</f>
        <v>32950</v>
      </c>
      <c r="K77" s="69" t="s">
        <v>91</v>
      </c>
      <c r="L77" s="82">
        <v>3.01</v>
      </c>
      <c r="M77" s="66">
        <v>32950</v>
      </c>
      <c r="N77" s="67">
        <f t="shared" si="1"/>
        <v>1062.9032258064517</v>
      </c>
    </row>
    <row r="78" spans="1:14" hidden="1">
      <c r="A78" s="16">
        <v>42024</v>
      </c>
      <c r="B78" s="17">
        <v>120131</v>
      </c>
      <c r="C78" s="18">
        <v>46811</v>
      </c>
      <c r="D78" s="18">
        <v>47386</v>
      </c>
      <c r="E78" s="17">
        <f>D78-C78</f>
        <v>575</v>
      </c>
      <c r="F78" s="17">
        <v>10</v>
      </c>
      <c r="G78" s="17">
        <f>E78*F78</f>
        <v>5750</v>
      </c>
      <c r="K78" s="69">
        <v>120131</v>
      </c>
      <c r="L78" s="82"/>
      <c r="M78" s="66"/>
      <c r="N78" s="67">
        <f t="shared" si="1"/>
        <v>0</v>
      </c>
    </row>
    <row r="79" spans="1:14" hidden="1">
      <c r="A79" s="16">
        <v>42024</v>
      </c>
      <c r="B79" s="17">
        <v>10082</v>
      </c>
      <c r="C79" s="18">
        <v>73439</v>
      </c>
      <c r="D79" s="18">
        <v>74119</v>
      </c>
      <c r="E79" s="17">
        <f>D79-C79</f>
        <v>680</v>
      </c>
      <c r="F79" s="17">
        <v>40</v>
      </c>
      <c r="G79" s="17">
        <f>E79*F79</f>
        <v>27200</v>
      </c>
      <c r="K79" s="69">
        <v>10082</v>
      </c>
      <c r="L79" s="82"/>
      <c r="M79" s="66"/>
      <c r="N79" s="67">
        <f t="shared" si="1"/>
        <v>0</v>
      </c>
    </row>
    <row r="80" spans="1:14" hidden="1">
      <c r="A80" s="2" t="s">
        <v>0</v>
      </c>
      <c r="B80" s="2" t="s">
        <v>1</v>
      </c>
      <c r="C80" s="3" t="s">
        <v>2</v>
      </c>
      <c r="D80" s="4" t="s">
        <v>3</v>
      </c>
      <c r="E80" s="3" t="s">
        <v>4</v>
      </c>
      <c r="F80" s="3" t="s">
        <v>29</v>
      </c>
      <c r="G80" s="5" t="s">
        <v>6</v>
      </c>
      <c r="K80" s="69" t="s">
        <v>1</v>
      </c>
      <c r="L80" s="82"/>
      <c r="M80" s="66"/>
      <c r="N80" s="67">
        <f t="shared" si="1"/>
        <v>0</v>
      </c>
    </row>
    <row r="81" spans="1:14" hidden="1">
      <c r="A81" s="6" t="s">
        <v>7</v>
      </c>
      <c r="B81" s="6" t="s">
        <v>8</v>
      </c>
      <c r="C81" s="7" t="s">
        <v>9</v>
      </c>
      <c r="D81" s="22" t="s">
        <v>9</v>
      </c>
      <c r="E81" s="7" t="s">
        <v>10</v>
      </c>
      <c r="F81" s="7" t="s">
        <v>11</v>
      </c>
      <c r="G81" s="8" t="s">
        <v>12</v>
      </c>
      <c r="K81" s="69" t="s">
        <v>8</v>
      </c>
      <c r="L81" s="82"/>
      <c r="M81" s="66"/>
      <c r="N81" s="67">
        <f t="shared" si="1"/>
        <v>0</v>
      </c>
    </row>
    <row r="82" spans="1:14" hidden="1">
      <c r="A82" s="9" t="s">
        <v>10</v>
      </c>
      <c r="B82" s="9" t="s">
        <v>13</v>
      </c>
      <c r="C82" s="10" t="s">
        <v>14</v>
      </c>
      <c r="D82" s="23" t="s">
        <v>14</v>
      </c>
      <c r="E82" s="10"/>
      <c r="F82" s="10" t="s">
        <v>15</v>
      </c>
      <c r="G82" s="11" t="s">
        <v>16</v>
      </c>
      <c r="K82" s="69" t="s">
        <v>13</v>
      </c>
      <c r="L82" s="82"/>
      <c r="M82" s="66"/>
      <c r="N82" s="67">
        <f t="shared" si="1"/>
        <v>0</v>
      </c>
    </row>
    <row r="83" spans="1:14">
      <c r="A83" s="12"/>
      <c r="B83" s="13" t="s">
        <v>39</v>
      </c>
      <c r="C83" s="24"/>
      <c r="D83" s="13"/>
      <c r="E83" s="13"/>
      <c r="F83" s="14"/>
      <c r="G83" s="15"/>
      <c r="H83" s="64">
        <f>G84+G86</f>
        <v>20880</v>
      </c>
      <c r="K83" s="69" t="s">
        <v>92</v>
      </c>
      <c r="L83" s="82">
        <v>2.1</v>
      </c>
      <c r="M83" s="66">
        <v>20880</v>
      </c>
      <c r="N83" s="67">
        <f t="shared" si="1"/>
        <v>673.54838709677415</v>
      </c>
    </row>
    <row r="84" spans="1:14" hidden="1">
      <c r="A84" s="16">
        <v>42024</v>
      </c>
      <c r="B84" s="17">
        <v>874220</v>
      </c>
      <c r="C84" s="19">
        <v>17468</v>
      </c>
      <c r="D84" s="19">
        <v>17760</v>
      </c>
      <c r="E84" s="17">
        <f>D84-C84</f>
        <v>292</v>
      </c>
      <c r="F84" s="17">
        <v>60</v>
      </c>
      <c r="G84" s="17">
        <f>E84*F84</f>
        <v>17520</v>
      </c>
      <c r="K84" s="69">
        <v>874220</v>
      </c>
      <c r="L84" s="82"/>
      <c r="M84" s="66"/>
      <c r="N84" s="67">
        <f t="shared" si="1"/>
        <v>0</v>
      </c>
    </row>
    <row r="85" spans="1:14" hidden="1">
      <c r="A85" s="17"/>
      <c r="B85" s="17"/>
      <c r="C85" s="19"/>
      <c r="D85" s="19"/>
      <c r="E85" s="17"/>
      <c r="F85" s="17"/>
      <c r="G85" s="17"/>
      <c r="K85" s="69"/>
      <c r="L85" s="82"/>
      <c r="M85" s="66"/>
      <c r="N85" s="67">
        <f t="shared" si="1"/>
        <v>0</v>
      </c>
    </row>
    <row r="86" spans="1:14" hidden="1">
      <c r="A86" s="16">
        <v>42024</v>
      </c>
      <c r="B86" s="17">
        <v>681341</v>
      </c>
      <c r="C86" s="19">
        <v>3895</v>
      </c>
      <c r="D86" s="19">
        <v>3937</v>
      </c>
      <c r="E86" s="17">
        <f>D86-C86</f>
        <v>42</v>
      </c>
      <c r="F86" s="17">
        <v>80</v>
      </c>
      <c r="G86" s="17">
        <f>E86*F86</f>
        <v>3360</v>
      </c>
      <c r="K86" s="69">
        <v>681341</v>
      </c>
      <c r="L86" s="82"/>
      <c r="M86" s="66"/>
      <c r="N86" s="67">
        <f t="shared" si="1"/>
        <v>0</v>
      </c>
    </row>
    <row r="87" spans="1:14" hidden="1">
      <c r="A87" s="17"/>
      <c r="B87" s="17"/>
      <c r="C87" s="18"/>
      <c r="D87" s="18"/>
      <c r="E87" s="17"/>
      <c r="F87" s="17"/>
      <c r="G87" s="17"/>
      <c r="K87" s="69"/>
      <c r="L87" s="82"/>
      <c r="M87" s="66"/>
      <c r="N87" s="67">
        <f t="shared" si="1"/>
        <v>0</v>
      </c>
    </row>
    <row r="88" spans="1:14">
      <c r="A88" s="12"/>
      <c r="B88" s="13" t="s">
        <v>40</v>
      </c>
      <c r="C88" s="13"/>
      <c r="D88" s="13"/>
      <c r="E88" s="13"/>
      <c r="F88" s="14"/>
      <c r="G88" s="15"/>
      <c r="H88" s="64">
        <f>G89+G90+G91+G92</f>
        <v>43420</v>
      </c>
      <c r="K88" s="69" t="s">
        <v>93</v>
      </c>
      <c r="L88" s="82">
        <v>3.01</v>
      </c>
      <c r="M88" s="66">
        <v>43420</v>
      </c>
      <c r="N88" s="67">
        <f t="shared" si="1"/>
        <v>1400.6451612903227</v>
      </c>
    </row>
    <row r="89" spans="1:14" hidden="1">
      <c r="A89" s="16">
        <v>42024</v>
      </c>
      <c r="B89" s="17">
        <v>477126</v>
      </c>
      <c r="C89" s="26">
        <v>55924</v>
      </c>
      <c r="D89" s="26">
        <v>56135</v>
      </c>
      <c r="E89" s="27">
        <f>D89-C89</f>
        <v>211</v>
      </c>
      <c r="F89" s="27">
        <v>10</v>
      </c>
      <c r="G89" s="27">
        <f>E89*F89</f>
        <v>2110</v>
      </c>
      <c r="K89" s="69">
        <v>477126</v>
      </c>
      <c r="L89" s="82"/>
      <c r="M89" s="66"/>
      <c r="N89" s="67">
        <f t="shared" si="1"/>
        <v>0</v>
      </c>
    </row>
    <row r="90" spans="1:14" hidden="1">
      <c r="A90" s="16">
        <v>42024</v>
      </c>
      <c r="B90" s="17">
        <v>544433</v>
      </c>
      <c r="C90" s="19">
        <v>52550</v>
      </c>
      <c r="D90" s="19">
        <v>53018</v>
      </c>
      <c r="E90" s="27">
        <f>D90-C90</f>
        <v>468</v>
      </c>
      <c r="F90" s="17">
        <v>40</v>
      </c>
      <c r="G90" s="27">
        <f>E90*F90</f>
        <v>18720</v>
      </c>
      <c r="K90" s="69">
        <v>544433</v>
      </c>
      <c r="L90" s="82"/>
      <c r="M90" s="66"/>
      <c r="N90" s="67">
        <f t="shared" si="1"/>
        <v>0</v>
      </c>
    </row>
    <row r="91" spans="1:14" hidden="1">
      <c r="A91" s="16">
        <v>42024</v>
      </c>
      <c r="B91" s="17">
        <v>529409</v>
      </c>
      <c r="C91" s="19">
        <v>15008</v>
      </c>
      <c r="D91" s="19">
        <v>15166</v>
      </c>
      <c r="E91" s="27">
        <f>D91-C91</f>
        <v>158</v>
      </c>
      <c r="F91" s="17">
        <v>15</v>
      </c>
      <c r="G91" s="27">
        <f>E91*F91</f>
        <v>2370</v>
      </c>
      <c r="K91" s="69">
        <v>529409</v>
      </c>
      <c r="L91" s="82"/>
      <c r="M91" s="66"/>
      <c r="N91" s="67">
        <f t="shared" si="1"/>
        <v>0</v>
      </c>
    </row>
    <row r="92" spans="1:14" hidden="1">
      <c r="A92" s="16">
        <v>42024</v>
      </c>
      <c r="B92" s="17">
        <v>79</v>
      </c>
      <c r="C92" s="19">
        <v>11655</v>
      </c>
      <c r="D92" s="19">
        <v>11992</v>
      </c>
      <c r="E92" s="27">
        <f>D92-C92</f>
        <v>337</v>
      </c>
      <c r="F92" s="17">
        <v>60</v>
      </c>
      <c r="G92" s="27">
        <f>E92*F92</f>
        <v>20220</v>
      </c>
      <c r="K92" s="69">
        <v>79</v>
      </c>
      <c r="L92" s="82"/>
      <c r="M92" s="66"/>
      <c r="N92" s="67">
        <f t="shared" si="1"/>
        <v>0</v>
      </c>
    </row>
    <row r="93" spans="1:14">
      <c r="A93" s="12"/>
      <c r="B93" s="13" t="s">
        <v>41</v>
      </c>
      <c r="C93" s="28"/>
      <c r="D93" s="28"/>
      <c r="E93" s="13"/>
      <c r="F93" s="14"/>
      <c r="G93" s="15"/>
      <c r="H93" s="64">
        <f>G94+G95</f>
        <v>28025</v>
      </c>
      <c r="K93" s="69" t="s">
        <v>94</v>
      </c>
      <c r="L93" s="82">
        <v>2.1</v>
      </c>
      <c r="M93" s="66">
        <v>28025</v>
      </c>
      <c r="N93" s="67">
        <f t="shared" si="1"/>
        <v>904.0322580645161</v>
      </c>
    </row>
    <row r="94" spans="1:14" hidden="1">
      <c r="A94" s="16">
        <v>42024</v>
      </c>
      <c r="B94" s="29">
        <v>9131054008560</v>
      </c>
      <c r="C94" s="30">
        <v>58217</v>
      </c>
      <c r="D94" s="30">
        <v>61442</v>
      </c>
      <c r="E94" s="17">
        <f>D94-C94</f>
        <v>3225</v>
      </c>
      <c r="F94" s="31">
        <v>1</v>
      </c>
      <c r="G94" s="17">
        <f>E94*F94</f>
        <v>3225</v>
      </c>
      <c r="K94" s="72">
        <v>9131054008560</v>
      </c>
      <c r="L94" s="85"/>
      <c r="M94" s="66"/>
      <c r="N94" s="67">
        <f t="shared" si="1"/>
        <v>0</v>
      </c>
    </row>
    <row r="95" spans="1:14" hidden="1">
      <c r="A95" s="16">
        <v>42024</v>
      </c>
      <c r="B95" s="17">
        <v>16202</v>
      </c>
      <c r="C95" s="19">
        <v>85945</v>
      </c>
      <c r="D95" s="19">
        <v>86565</v>
      </c>
      <c r="E95" s="17">
        <f>D95-C95</f>
        <v>620</v>
      </c>
      <c r="F95" s="17">
        <v>40</v>
      </c>
      <c r="G95" s="17">
        <f>E95*F95</f>
        <v>24800</v>
      </c>
      <c r="K95" s="69">
        <v>16202</v>
      </c>
      <c r="L95" s="82"/>
      <c r="M95" s="66"/>
      <c r="N95" s="67">
        <f t="shared" si="1"/>
        <v>0</v>
      </c>
    </row>
    <row r="96" spans="1:14" hidden="1">
      <c r="A96" s="15"/>
      <c r="B96" s="15"/>
      <c r="C96" s="32"/>
      <c r="D96" s="32"/>
      <c r="E96" s="15"/>
      <c r="F96" s="15"/>
      <c r="G96" s="15"/>
      <c r="K96" s="69"/>
      <c r="L96" s="82"/>
      <c r="M96" s="66"/>
      <c r="N96" s="67">
        <f t="shared" si="1"/>
        <v>0</v>
      </c>
    </row>
    <row r="97" spans="1:14" hidden="1">
      <c r="A97" s="2" t="s">
        <v>0</v>
      </c>
      <c r="B97" s="2" t="s">
        <v>1</v>
      </c>
      <c r="C97" s="3" t="s">
        <v>2</v>
      </c>
      <c r="D97" s="4" t="s">
        <v>3</v>
      </c>
      <c r="E97" s="3" t="s">
        <v>4</v>
      </c>
      <c r="F97" s="3" t="s">
        <v>29</v>
      </c>
      <c r="G97" s="5" t="s">
        <v>6</v>
      </c>
      <c r="K97" s="69" t="s">
        <v>1</v>
      </c>
      <c r="L97" s="82"/>
      <c r="M97" s="66"/>
      <c r="N97" s="67">
        <f t="shared" si="1"/>
        <v>0</v>
      </c>
    </row>
    <row r="98" spans="1:14" hidden="1">
      <c r="A98" s="6" t="s">
        <v>7</v>
      </c>
      <c r="B98" s="6" t="s">
        <v>8</v>
      </c>
      <c r="C98" s="7" t="s">
        <v>9</v>
      </c>
      <c r="D98" s="22" t="s">
        <v>9</v>
      </c>
      <c r="E98" s="7" t="s">
        <v>10</v>
      </c>
      <c r="F98" s="7" t="s">
        <v>11</v>
      </c>
      <c r="G98" s="8" t="s">
        <v>12</v>
      </c>
      <c r="K98" s="69" t="s">
        <v>8</v>
      </c>
      <c r="L98" s="82"/>
      <c r="M98" s="66"/>
      <c r="N98" s="67">
        <f t="shared" si="1"/>
        <v>0</v>
      </c>
    </row>
    <row r="99" spans="1:14" hidden="1">
      <c r="A99" s="9" t="s">
        <v>10</v>
      </c>
      <c r="B99" s="9" t="s">
        <v>13</v>
      </c>
      <c r="C99" s="10" t="s">
        <v>14</v>
      </c>
      <c r="D99" s="23" t="s">
        <v>14</v>
      </c>
      <c r="E99" s="10"/>
      <c r="F99" s="10" t="s">
        <v>15</v>
      </c>
      <c r="G99" s="11" t="s">
        <v>16</v>
      </c>
      <c r="K99" s="69" t="s">
        <v>13</v>
      </c>
      <c r="L99" s="82"/>
      <c r="M99" s="66"/>
      <c r="N99" s="67">
        <f t="shared" si="1"/>
        <v>0</v>
      </c>
    </row>
    <row r="100" spans="1:14">
      <c r="A100" s="12"/>
      <c r="B100" s="13" t="s">
        <v>42</v>
      </c>
      <c r="C100" s="13"/>
      <c r="D100" s="13"/>
      <c r="E100" s="13"/>
      <c r="F100" s="14"/>
      <c r="G100" s="15"/>
      <c r="H100" s="64">
        <f>G101+G103+G105</f>
        <v>30015</v>
      </c>
      <c r="K100" s="69" t="s">
        <v>95</v>
      </c>
      <c r="L100" s="82">
        <v>3.01</v>
      </c>
      <c r="M100" s="66">
        <v>30015</v>
      </c>
      <c r="N100" s="67">
        <f t="shared" si="1"/>
        <v>968.22580645161293</v>
      </c>
    </row>
    <row r="101" spans="1:14" hidden="1">
      <c r="A101" s="16">
        <v>42024</v>
      </c>
      <c r="B101" s="33">
        <v>9250044000064</v>
      </c>
      <c r="C101" s="19">
        <v>13207</v>
      </c>
      <c r="D101" s="19">
        <v>13656</v>
      </c>
      <c r="E101" s="17">
        <f>D101-C101</f>
        <v>449</v>
      </c>
      <c r="F101" s="17">
        <v>30</v>
      </c>
      <c r="G101" s="17">
        <f>E101*F101</f>
        <v>13470</v>
      </c>
      <c r="K101" s="70">
        <v>9250044000064</v>
      </c>
      <c r="L101" s="83"/>
      <c r="M101" s="66"/>
      <c r="N101" s="67">
        <f t="shared" si="1"/>
        <v>0</v>
      </c>
    </row>
    <row r="102" spans="1:14" hidden="1">
      <c r="A102" s="17"/>
      <c r="B102" s="17"/>
      <c r="C102" s="19"/>
      <c r="D102" s="19"/>
      <c r="E102" s="17"/>
      <c r="F102" s="17"/>
      <c r="G102" s="15"/>
      <c r="K102" s="69"/>
      <c r="L102" s="82"/>
      <c r="M102" s="66"/>
      <c r="N102" s="67">
        <f t="shared" si="1"/>
        <v>0</v>
      </c>
    </row>
    <row r="103" spans="1:14" hidden="1">
      <c r="A103" s="16">
        <v>42024</v>
      </c>
      <c r="B103" s="33">
        <v>9250042000037</v>
      </c>
      <c r="C103" s="19">
        <v>12872</v>
      </c>
      <c r="D103" s="19">
        <v>13279</v>
      </c>
      <c r="E103" s="17">
        <f>D103-C103</f>
        <v>407</v>
      </c>
      <c r="F103" s="17">
        <v>30</v>
      </c>
      <c r="G103" s="17">
        <f>E103*F103</f>
        <v>12210</v>
      </c>
      <c r="K103" s="70">
        <v>9250042000037</v>
      </c>
      <c r="L103" s="83"/>
      <c r="M103" s="66"/>
      <c r="N103" s="67">
        <f t="shared" si="1"/>
        <v>0</v>
      </c>
    </row>
    <row r="104" spans="1:14" hidden="1">
      <c r="A104" s="15"/>
      <c r="B104" s="15"/>
      <c r="C104" s="34"/>
      <c r="D104" s="34"/>
      <c r="E104" s="15"/>
      <c r="F104" s="15"/>
      <c r="G104" s="15"/>
      <c r="K104" s="69"/>
      <c r="L104" s="82"/>
      <c r="M104" s="66"/>
      <c r="N104" s="67">
        <f t="shared" si="1"/>
        <v>0</v>
      </c>
    </row>
    <row r="105" spans="1:14" hidden="1">
      <c r="A105" s="16">
        <v>42024</v>
      </c>
      <c r="B105" s="33">
        <v>9250042000022</v>
      </c>
      <c r="C105" s="19">
        <v>9311</v>
      </c>
      <c r="D105" s="19">
        <v>9600</v>
      </c>
      <c r="E105" s="17">
        <f>D105-C105</f>
        <v>289</v>
      </c>
      <c r="F105" s="17">
        <v>15</v>
      </c>
      <c r="G105" s="17">
        <f>E105*F105</f>
        <v>4335</v>
      </c>
      <c r="K105" s="70">
        <v>9250042000022</v>
      </c>
      <c r="L105" s="83"/>
      <c r="M105" s="66"/>
      <c r="N105" s="67">
        <f t="shared" si="1"/>
        <v>0</v>
      </c>
    </row>
    <row r="106" spans="1:14" hidden="1">
      <c r="A106" s="2" t="s">
        <v>0</v>
      </c>
      <c r="B106" s="2" t="s">
        <v>1</v>
      </c>
      <c r="C106" s="3" t="s">
        <v>2</v>
      </c>
      <c r="D106" s="4" t="s">
        <v>3</v>
      </c>
      <c r="E106" s="3" t="s">
        <v>4</v>
      </c>
      <c r="F106" s="3" t="s">
        <v>29</v>
      </c>
      <c r="G106" s="5" t="s">
        <v>6</v>
      </c>
      <c r="K106" s="69" t="s">
        <v>1</v>
      </c>
      <c r="L106" s="82"/>
      <c r="M106" s="66"/>
      <c r="N106" s="67">
        <f t="shared" si="1"/>
        <v>0</v>
      </c>
    </row>
    <row r="107" spans="1:14" hidden="1">
      <c r="A107" s="6" t="s">
        <v>7</v>
      </c>
      <c r="B107" s="6" t="s">
        <v>8</v>
      </c>
      <c r="C107" s="7" t="s">
        <v>9</v>
      </c>
      <c r="D107" s="22" t="s">
        <v>9</v>
      </c>
      <c r="E107" s="7" t="s">
        <v>10</v>
      </c>
      <c r="F107" s="7" t="s">
        <v>11</v>
      </c>
      <c r="G107" s="8" t="s">
        <v>12</v>
      </c>
      <c r="K107" s="69" t="s">
        <v>8</v>
      </c>
      <c r="L107" s="82"/>
      <c r="M107" s="66"/>
      <c r="N107" s="67">
        <f t="shared" si="1"/>
        <v>0</v>
      </c>
    </row>
    <row r="108" spans="1:14" hidden="1">
      <c r="A108" s="9" t="s">
        <v>10</v>
      </c>
      <c r="B108" s="9" t="s">
        <v>13</v>
      </c>
      <c r="C108" s="10" t="s">
        <v>14</v>
      </c>
      <c r="D108" s="23" t="s">
        <v>14</v>
      </c>
      <c r="E108" s="10"/>
      <c r="F108" s="10" t="s">
        <v>15</v>
      </c>
      <c r="G108" s="11" t="s">
        <v>16</v>
      </c>
      <c r="K108" s="69" t="s">
        <v>13</v>
      </c>
      <c r="L108" s="82"/>
      <c r="M108" s="66"/>
      <c r="N108" s="67">
        <f t="shared" si="1"/>
        <v>0</v>
      </c>
    </row>
    <row r="109" spans="1:14">
      <c r="A109" s="12"/>
      <c r="B109" s="13" t="s">
        <v>43</v>
      </c>
      <c r="C109" s="24"/>
      <c r="D109" s="13"/>
      <c r="E109" s="13"/>
      <c r="F109" s="13"/>
      <c r="G109" s="15"/>
      <c r="H109" s="64">
        <f>G110+G111</f>
        <v>29160</v>
      </c>
      <c r="K109" s="69" t="s">
        <v>96</v>
      </c>
      <c r="L109" s="82">
        <v>3.01</v>
      </c>
      <c r="M109" s="66">
        <v>29160</v>
      </c>
      <c r="N109" s="67">
        <f t="shared" si="1"/>
        <v>940.64516129032256</v>
      </c>
    </row>
    <row r="110" spans="1:14" hidden="1">
      <c r="A110" s="16">
        <v>42024</v>
      </c>
      <c r="B110" s="17">
        <v>535446</v>
      </c>
      <c r="C110" s="35">
        <v>15194</v>
      </c>
      <c r="D110" s="35">
        <v>15356</v>
      </c>
      <c r="E110" s="17">
        <f>D110-C110</f>
        <v>162</v>
      </c>
      <c r="F110" s="36">
        <v>20</v>
      </c>
      <c r="G110" s="17">
        <f>E110*F110</f>
        <v>3240</v>
      </c>
      <c r="K110" s="69">
        <v>535446</v>
      </c>
      <c r="L110" s="82"/>
      <c r="M110" s="66"/>
      <c r="N110" s="67">
        <f t="shared" si="1"/>
        <v>0</v>
      </c>
    </row>
    <row r="111" spans="1:14" hidden="1">
      <c r="A111" s="16">
        <v>42024</v>
      </c>
      <c r="B111" s="17">
        <v>561195</v>
      </c>
      <c r="C111" s="35">
        <v>45639</v>
      </c>
      <c r="D111" s="35">
        <v>46071</v>
      </c>
      <c r="E111" s="17">
        <f>D111-C111</f>
        <v>432</v>
      </c>
      <c r="F111" s="36">
        <v>60</v>
      </c>
      <c r="G111" s="17">
        <f>E111*F111</f>
        <v>25920</v>
      </c>
      <c r="K111" s="69">
        <v>561195</v>
      </c>
      <c r="L111" s="82"/>
      <c r="M111" s="66"/>
      <c r="N111" s="67">
        <f t="shared" si="1"/>
        <v>0</v>
      </c>
    </row>
    <row r="112" spans="1:14">
      <c r="A112" s="12"/>
      <c r="B112" s="13" t="s">
        <v>44</v>
      </c>
      <c r="C112" s="13"/>
      <c r="D112" s="13"/>
      <c r="E112" s="13"/>
      <c r="F112" s="13"/>
      <c r="G112" s="15"/>
      <c r="H112" s="64">
        <f>G113+G114</f>
        <v>12900</v>
      </c>
      <c r="K112" s="69" t="s">
        <v>97</v>
      </c>
      <c r="L112" s="82">
        <v>3.01</v>
      </c>
      <c r="M112" s="66">
        <v>12900</v>
      </c>
      <c r="N112" s="67">
        <f t="shared" si="1"/>
        <v>416.12903225806451</v>
      </c>
    </row>
    <row r="113" spans="1:14" hidden="1">
      <c r="A113" s="16">
        <v>42024</v>
      </c>
      <c r="B113" s="17">
        <v>315478</v>
      </c>
      <c r="C113" s="35">
        <v>2118</v>
      </c>
      <c r="D113" s="35">
        <v>2220</v>
      </c>
      <c r="E113" s="17">
        <f>D113-C113</f>
        <v>102</v>
      </c>
      <c r="F113" s="36">
        <v>10</v>
      </c>
      <c r="G113" s="17">
        <f>E113*F113</f>
        <v>1020</v>
      </c>
      <c r="K113" s="69">
        <v>315478</v>
      </c>
      <c r="L113" s="82"/>
      <c r="M113" s="66"/>
      <c r="N113" s="67">
        <f t="shared" si="1"/>
        <v>0</v>
      </c>
    </row>
    <row r="114" spans="1:14" hidden="1">
      <c r="A114" s="16">
        <v>42024</v>
      </c>
      <c r="B114" s="17">
        <v>199115</v>
      </c>
      <c r="C114" s="35">
        <v>7009</v>
      </c>
      <c r="D114" s="35">
        <v>7603</v>
      </c>
      <c r="E114" s="17">
        <f>D114-C114</f>
        <v>594</v>
      </c>
      <c r="F114" s="36">
        <v>20</v>
      </c>
      <c r="G114" s="17">
        <f>E114*F114</f>
        <v>11880</v>
      </c>
      <c r="K114" s="69">
        <v>199115</v>
      </c>
      <c r="L114" s="82"/>
      <c r="M114" s="66"/>
      <c r="N114" s="67">
        <f t="shared" si="1"/>
        <v>0</v>
      </c>
    </row>
    <row r="115" spans="1:14">
      <c r="A115" s="12"/>
      <c r="B115" s="13" t="s">
        <v>45</v>
      </c>
      <c r="C115" s="13"/>
      <c r="D115" s="13"/>
      <c r="E115" s="13"/>
      <c r="F115" s="13"/>
      <c r="G115" s="15"/>
      <c r="H115" s="64">
        <f>G116+G117+G118+G119+G120+G122+G124+G126</f>
        <v>56290</v>
      </c>
      <c r="K115" s="69" t="s">
        <v>98</v>
      </c>
      <c r="L115" s="82">
        <v>3.01</v>
      </c>
      <c r="M115" s="66">
        <v>56290</v>
      </c>
      <c r="N115" s="67">
        <f t="shared" si="1"/>
        <v>1815.8064516129032</v>
      </c>
    </row>
    <row r="116" spans="1:14" hidden="1">
      <c r="A116" s="16">
        <v>42024</v>
      </c>
      <c r="B116" s="17">
        <v>30004307</v>
      </c>
      <c r="C116" s="35">
        <v>5988</v>
      </c>
      <c r="D116" s="35">
        <v>6046</v>
      </c>
      <c r="E116" s="17">
        <f>D116-C116</f>
        <v>58</v>
      </c>
      <c r="F116" s="36">
        <v>20</v>
      </c>
      <c r="G116" s="17">
        <f>E116*F116</f>
        <v>1160</v>
      </c>
      <c r="K116" s="69">
        <v>30004307</v>
      </c>
      <c r="L116" s="82"/>
      <c r="M116" s="66"/>
      <c r="N116" s="67">
        <f t="shared" si="1"/>
        <v>0</v>
      </c>
    </row>
    <row r="117" spans="1:14" hidden="1">
      <c r="A117" s="16">
        <v>42024</v>
      </c>
      <c r="B117" s="17">
        <v>28984207</v>
      </c>
      <c r="C117" s="35">
        <v>52990</v>
      </c>
      <c r="D117" s="35">
        <v>53557</v>
      </c>
      <c r="E117" s="17">
        <f>D117-C117</f>
        <v>567</v>
      </c>
      <c r="F117" s="36">
        <v>30</v>
      </c>
      <c r="G117" s="17">
        <f>E117*F117</f>
        <v>17010</v>
      </c>
      <c r="K117" s="69">
        <v>28984207</v>
      </c>
      <c r="L117" s="82"/>
      <c r="M117" s="66"/>
      <c r="N117" s="67">
        <f t="shared" si="1"/>
        <v>0</v>
      </c>
    </row>
    <row r="118" spans="1:14" hidden="1">
      <c r="A118" s="16">
        <v>42024</v>
      </c>
      <c r="B118" s="17">
        <v>30005507</v>
      </c>
      <c r="C118" s="37">
        <v>2496</v>
      </c>
      <c r="D118" s="37">
        <v>2539</v>
      </c>
      <c r="E118" s="17">
        <f>D118-C118</f>
        <v>43</v>
      </c>
      <c r="F118" s="36">
        <v>40</v>
      </c>
      <c r="G118" s="17">
        <f>E118*F118</f>
        <v>1720</v>
      </c>
      <c r="H118" s="65"/>
      <c r="I118" s="38"/>
      <c r="K118" s="69">
        <v>30005507</v>
      </c>
      <c r="L118" s="82"/>
      <c r="M118" s="66"/>
      <c r="N118" s="67">
        <f t="shared" si="1"/>
        <v>0</v>
      </c>
    </row>
    <row r="119" spans="1:14" hidden="1">
      <c r="A119" s="16">
        <v>42024</v>
      </c>
      <c r="B119" s="17">
        <v>27237107</v>
      </c>
      <c r="C119" s="26">
        <v>37836</v>
      </c>
      <c r="D119" s="26">
        <v>39317</v>
      </c>
      <c r="E119" s="39">
        <f>D119-C119</f>
        <v>1481</v>
      </c>
      <c r="F119" s="40">
        <v>20</v>
      </c>
      <c r="G119" s="39">
        <f>E119*F119</f>
        <v>29620</v>
      </c>
      <c r="K119" s="69">
        <v>27237107</v>
      </c>
      <c r="L119" s="82"/>
      <c r="M119" s="66"/>
      <c r="N119" s="67">
        <f t="shared" si="1"/>
        <v>0</v>
      </c>
    </row>
    <row r="120" spans="1:14" hidden="1">
      <c r="A120" s="16">
        <v>42024</v>
      </c>
      <c r="B120" s="17">
        <v>29069707</v>
      </c>
      <c r="C120" s="26">
        <v>4608</v>
      </c>
      <c r="D120" s="26">
        <v>4674</v>
      </c>
      <c r="E120" s="39">
        <f>D120-C120</f>
        <v>66</v>
      </c>
      <c r="F120" s="40">
        <v>15</v>
      </c>
      <c r="G120" s="39">
        <f>E120*F120</f>
        <v>990</v>
      </c>
      <c r="K120" s="69">
        <v>29069707</v>
      </c>
      <c r="L120" s="82"/>
      <c r="M120" s="66"/>
      <c r="N120" s="67">
        <f t="shared" si="1"/>
        <v>0</v>
      </c>
    </row>
    <row r="121" spans="1:14" hidden="1">
      <c r="A121" s="17"/>
      <c r="B121" s="17"/>
      <c r="C121" s="26"/>
      <c r="D121" s="26"/>
      <c r="E121" s="39"/>
      <c r="F121" s="40"/>
      <c r="G121" s="39"/>
      <c r="K121" s="69"/>
      <c r="L121" s="82"/>
      <c r="M121" s="66"/>
      <c r="N121" s="67">
        <f t="shared" si="1"/>
        <v>0</v>
      </c>
    </row>
    <row r="122" spans="1:14" hidden="1">
      <c r="A122" s="16">
        <v>42024</v>
      </c>
      <c r="B122" s="17">
        <v>27874307</v>
      </c>
      <c r="C122" s="26">
        <v>38591</v>
      </c>
      <c r="D122" s="26">
        <v>38633</v>
      </c>
      <c r="E122" s="39">
        <f>D122-C122</f>
        <v>42</v>
      </c>
      <c r="F122" s="40">
        <v>20</v>
      </c>
      <c r="G122" s="39">
        <f>E122*F122</f>
        <v>840</v>
      </c>
      <c r="K122" s="69">
        <v>27874307</v>
      </c>
      <c r="L122" s="82"/>
      <c r="M122" s="66"/>
      <c r="N122" s="67">
        <f t="shared" si="1"/>
        <v>0</v>
      </c>
    </row>
    <row r="123" spans="1:14" hidden="1">
      <c r="A123" s="17"/>
      <c r="B123" s="17"/>
      <c r="C123" s="26"/>
      <c r="D123" s="26"/>
      <c r="E123" s="39"/>
      <c r="F123" s="40"/>
      <c r="G123" s="39"/>
      <c r="K123" s="69"/>
      <c r="L123" s="82"/>
      <c r="M123" s="66"/>
      <c r="N123" s="67">
        <f t="shared" si="1"/>
        <v>0</v>
      </c>
    </row>
    <row r="124" spans="1:14" hidden="1">
      <c r="A124" s="16">
        <v>42024</v>
      </c>
      <c r="B124" s="41" t="s">
        <v>46</v>
      </c>
      <c r="C124" s="42">
        <v>12107</v>
      </c>
      <c r="D124" s="42">
        <v>12266</v>
      </c>
      <c r="E124" s="39">
        <f>D124-C124</f>
        <v>159</v>
      </c>
      <c r="F124" s="43">
        <v>10</v>
      </c>
      <c r="G124" s="44">
        <f>E124*F124</f>
        <v>1590</v>
      </c>
      <c r="K124" s="73" t="s">
        <v>46</v>
      </c>
      <c r="L124" s="86"/>
      <c r="M124" s="66"/>
      <c r="N124" s="67">
        <f t="shared" si="1"/>
        <v>0</v>
      </c>
    </row>
    <row r="125" spans="1:14" hidden="1">
      <c r="A125" s="17"/>
      <c r="B125" s="17"/>
      <c r="C125" s="26"/>
      <c r="D125" s="26"/>
      <c r="E125" s="39"/>
      <c r="F125" s="40"/>
      <c r="G125" s="39"/>
      <c r="K125" s="69"/>
      <c r="L125" s="82"/>
      <c r="M125" s="66"/>
      <c r="N125" s="67">
        <f t="shared" si="1"/>
        <v>0</v>
      </c>
    </row>
    <row r="126" spans="1:14" hidden="1">
      <c r="A126" s="16">
        <v>42024</v>
      </c>
      <c r="B126" s="17" t="s">
        <v>47</v>
      </c>
      <c r="C126" s="26">
        <v>3125</v>
      </c>
      <c r="D126" s="26">
        <v>3461</v>
      </c>
      <c r="E126" s="39">
        <f>D126-C126</f>
        <v>336</v>
      </c>
      <c r="F126" s="40">
        <v>10</v>
      </c>
      <c r="G126" s="39">
        <f>E126*F126</f>
        <v>3360</v>
      </c>
      <c r="K126" s="69" t="s">
        <v>47</v>
      </c>
      <c r="L126" s="82"/>
      <c r="M126" s="66"/>
      <c r="N126" s="67">
        <f t="shared" si="1"/>
        <v>0</v>
      </c>
    </row>
    <row r="127" spans="1:14" hidden="1">
      <c r="A127" s="17"/>
      <c r="B127" s="17"/>
      <c r="C127" s="26"/>
      <c r="D127" s="26"/>
      <c r="E127" s="39"/>
      <c r="F127" s="40"/>
      <c r="G127" s="39"/>
      <c r="K127" s="69"/>
      <c r="L127" s="82"/>
      <c r="M127" s="66"/>
      <c r="N127" s="67">
        <f t="shared" si="1"/>
        <v>0</v>
      </c>
    </row>
    <row r="128" spans="1:14" hidden="1">
      <c r="A128" s="2" t="s">
        <v>0</v>
      </c>
      <c r="B128" s="2" t="s">
        <v>1</v>
      </c>
      <c r="C128" s="3" t="s">
        <v>2</v>
      </c>
      <c r="D128" s="4" t="s">
        <v>3</v>
      </c>
      <c r="E128" s="3" t="s">
        <v>4</v>
      </c>
      <c r="F128" s="3" t="s">
        <v>29</v>
      </c>
      <c r="G128" s="5" t="s">
        <v>6</v>
      </c>
      <c r="K128" s="69" t="s">
        <v>1</v>
      </c>
      <c r="L128" s="82"/>
      <c r="M128" s="66"/>
      <c r="N128" s="67">
        <f t="shared" si="1"/>
        <v>0</v>
      </c>
    </row>
    <row r="129" spans="1:14" hidden="1">
      <c r="A129" s="6" t="s">
        <v>7</v>
      </c>
      <c r="B129" s="6" t="s">
        <v>8</v>
      </c>
      <c r="C129" s="7" t="s">
        <v>9</v>
      </c>
      <c r="D129" s="22" t="s">
        <v>9</v>
      </c>
      <c r="E129" s="7" t="s">
        <v>10</v>
      </c>
      <c r="F129" s="7" t="s">
        <v>11</v>
      </c>
      <c r="G129" s="8" t="s">
        <v>12</v>
      </c>
      <c r="K129" s="69" t="s">
        <v>8</v>
      </c>
      <c r="L129" s="82"/>
      <c r="M129" s="66"/>
      <c r="N129" s="67">
        <f t="shared" si="1"/>
        <v>0</v>
      </c>
    </row>
    <row r="130" spans="1:14" hidden="1">
      <c r="A130" s="9" t="s">
        <v>10</v>
      </c>
      <c r="B130" s="9" t="s">
        <v>13</v>
      </c>
      <c r="C130" s="10" t="s">
        <v>14</v>
      </c>
      <c r="D130" s="23" t="s">
        <v>14</v>
      </c>
      <c r="E130" s="10"/>
      <c r="F130" s="10" t="s">
        <v>15</v>
      </c>
      <c r="G130" s="11" t="s">
        <v>16</v>
      </c>
      <c r="K130" s="69" t="s">
        <v>13</v>
      </c>
      <c r="L130" s="82"/>
      <c r="M130" s="66"/>
      <c r="N130" s="67">
        <f t="shared" si="1"/>
        <v>0</v>
      </c>
    </row>
    <row r="131" spans="1:14">
      <c r="A131" s="12"/>
      <c r="B131" s="13" t="s">
        <v>48</v>
      </c>
      <c r="C131" s="24"/>
      <c r="D131" s="13"/>
      <c r="E131" s="13"/>
      <c r="F131" s="14"/>
      <c r="G131" s="15"/>
      <c r="H131" s="64">
        <f>G132+G133+G134+G135+G136+G138</f>
        <v>88740</v>
      </c>
      <c r="K131" s="69" t="s">
        <v>99</v>
      </c>
      <c r="L131" s="82">
        <v>2.1</v>
      </c>
      <c r="M131" s="66">
        <v>88740</v>
      </c>
      <c r="N131" s="67">
        <f t="shared" si="1"/>
        <v>2862.5806451612902</v>
      </c>
    </row>
    <row r="132" spans="1:14" hidden="1">
      <c r="A132" s="16">
        <v>42024</v>
      </c>
      <c r="B132" s="17">
        <v>43436</v>
      </c>
      <c r="C132" s="35">
        <v>13604</v>
      </c>
      <c r="D132" s="35">
        <v>13757</v>
      </c>
      <c r="E132" s="45">
        <f>D132-C132</f>
        <v>153</v>
      </c>
      <c r="F132" s="45">
        <v>20</v>
      </c>
      <c r="G132" s="45">
        <f>E132*F132</f>
        <v>3060</v>
      </c>
      <c r="K132" s="69">
        <v>43436</v>
      </c>
      <c r="L132" s="82"/>
      <c r="M132" s="66"/>
      <c r="N132" s="67">
        <f t="shared" si="1"/>
        <v>0</v>
      </c>
    </row>
    <row r="133" spans="1:14" hidden="1">
      <c r="A133" s="16">
        <v>42024</v>
      </c>
      <c r="B133" s="17">
        <v>359728</v>
      </c>
      <c r="C133" s="35">
        <v>59056</v>
      </c>
      <c r="D133" s="35">
        <v>59742</v>
      </c>
      <c r="E133" s="45">
        <f>D133-C133</f>
        <v>686</v>
      </c>
      <c r="F133" s="45">
        <v>60</v>
      </c>
      <c r="G133" s="45">
        <f>E133*F133</f>
        <v>41160</v>
      </c>
      <c r="K133" s="69">
        <v>359728</v>
      </c>
      <c r="L133" s="82"/>
      <c r="M133" s="66"/>
      <c r="N133" s="67">
        <f t="shared" si="1"/>
        <v>0</v>
      </c>
    </row>
    <row r="134" spans="1:14" hidden="1">
      <c r="A134" s="16">
        <v>42024</v>
      </c>
      <c r="B134" s="17">
        <v>781053</v>
      </c>
      <c r="C134" s="35">
        <v>19388</v>
      </c>
      <c r="D134" s="35">
        <v>19574</v>
      </c>
      <c r="E134" s="45">
        <f>D134-C134</f>
        <v>186</v>
      </c>
      <c r="F134" s="45">
        <v>20</v>
      </c>
      <c r="G134" s="45">
        <f>E134*F134</f>
        <v>3720</v>
      </c>
      <c r="K134" s="69">
        <v>781053</v>
      </c>
      <c r="L134" s="82"/>
      <c r="M134" s="66"/>
      <c r="N134" s="67">
        <f t="shared" si="1"/>
        <v>0</v>
      </c>
    </row>
    <row r="135" spans="1:14" hidden="1">
      <c r="A135" s="16">
        <v>42024</v>
      </c>
      <c r="B135" s="17">
        <v>10048</v>
      </c>
      <c r="C135" s="35">
        <v>65662</v>
      </c>
      <c r="D135" s="35">
        <v>66297</v>
      </c>
      <c r="E135" s="45">
        <f>D135-C135</f>
        <v>635</v>
      </c>
      <c r="F135" s="45">
        <v>60</v>
      </c>
      <c r="G135" s="45">
        <f>E135*F135</f>
        <v>38100</v>
      </c>
      <c r="K135" s="69">
        <v>10048</v>
      </c>
      <c r="L135" s="82"/>
      <c r="M135" s="66"/>
      <c r="N135" s="67">
        <f t="shared" si="1"/>
        <v>0</v>
      </c>
    </row>
    <row r="136" spans="1:14" hidden="1">
      <c r="A136" s="16">
        <v>42024</v>
      </c>
      <c r="B136" s="17">
        <v>10033</v>
      </c>
      <c r="C136" s="35">
        <v>5782</v>
      </c>
      <c r="D136" s="35">
        <v>5917</v>
      </c>
      <c r="E136" s="45">
        <f>D136-C136</f>
        <v>135</v>
      </c>
      <c r="F136" s="45">
        <v>20</v>
      </c>
      <c r="G136" s="45">
        <f>E136*F136</f>
        <v>2700</v>
      </c>
      <c r="K136" s="69">
        <v>10033</v>
      </c>
      <c r="L136" s="82"/>
      <c r="M136" s="66"/>
      <c r="N136" s="67">
        <f t="shared" ref="N136:N199" si="2">M136/31</f>
        <v>0</v>
      </c>
    </row>
    <row r="137" spans="1:14" hidden="1">
      <c r="A137" s="17"/>
      <c r="B137" s="17"/>
      <c r="C137" s="35"/>
      <c r="D137" s="35"/>
      <c r="E137" s="45"/>
      <c r="F137" s="45"/>
      <c r="G137" s="45"/>
      <c r="K137" s="69"/>
      <c r="L137" s="82"/>
      <c r="M137" s="66"/>
      <c r="N137" s="67">
        <f t="shared" si="2"/>
        <v>0</v>
      </c>
    </row>
    <row r="138" spans="1:14" hidden="1">
      <c r="A138" s="16">
        <v>42024</v>
      </c>
      <c r="B138" s="17">
        <v>380163</v>
      </c>
      <c r="C138" s="35">
        <v>7</v>
      </c>
      <c r="D138" s="35">
        <v>7</v>
      </c>
      <c r="E138" s="45">
        <f>D138-C138</f>
        <v>0</v>
      </c>
      <c r="F138" s="45">
        <v>15</v>
      </c>
      <c r="G138" s="45">
        <f>E138*F138</f>
        <v>0</v>
      </c>
      <c r="K138" s="69">
        <v>380163</v>
      </c>
      <c r="L138" s="82"/>
      <c r="M138" s="66"/>
      <c r="N138" s="67">
        <f t="shared" si="2"/>
        <v>0</v>
      </c>
    </row>
    <row r="139" spans="1:14" hidden="1">
      <c r="A139" s="17"/>
      <c r="B139" s="17"/>
      <c r="C139" s="35"/>
      <c r="D139" s="35"/>
      <c r="E139" s="45"/>
      <c r="F139" s="45"/>
      <c r="G139" s="45"/>
      <c r="K139" s="69"/>
      <c r="L139" s="82"/>
      <c r="M139" s="66"/>
      <c r="N139" s="67">
        <f t="shared" si="2"/>
        <v>0</v>
      </c>
    </row>
    <row r="140" spans="1:14" hidden="1">
      <c r="A140" s="2" t="s">
        <v>0</v>
      </c>
      <c r="B140" s="2" t="s">
        <v>1</v>
      </c>
      <c r="C140" s="3" t="s">
        <v>2</v>
      </c>
      <c r="D140" s="4" t="s">
        <v>3</v>
      </c>
      <c r="E140" s="3" t="s">
        <v>4</v>
      </c>
      <c r="F140" s="3" t="s">
        <v>29</v>
      </c>
      <c r="G140" s="5" t="s">
        <v>6</v>
      </c>
      <c r="K140" s="69" t="s">
        <v>1</v>
      </c>
      <c r="L140" s="82"/>
      <c r="M140" s="66"/>
      <c r="N140" s="67">
        <f t="shared" si="2"/>
        <v>0</v>
      </c>
    </row>
    <row r="141" spans="1:14" hidden="1">
      <c r="A141" s="6" t="s">
        <v>7</v>
      </c>
      <c r="B141" s="6" t="s">
        <v>8</v>
      </c>
      <c r="C141" s="7" t="s">
        <v>9</v>
      </c>
      <c r="D141" s="22" t="s">
        <v>9</v>
      </c>
      <c r="E141" s="7" t="s">
        <v>10</v>
      </c>
      <c r="F141" s="7" t="s">
        <v>11</v>
      </c>
      <c r="G141" s="8" t="s">
        <v>12</v>
      </c>
      <c r="K141" s="69" t="s">
        <v>8</v>
      </c>
      <c r="L141" s="82"/>
      <c r="M141" s="66"/>
      <c r="N141" s="67">
        <f t="shared" si="2"/>
        <v>0</v>
      </c>
    </row>
    <row r="142" spans="1:14" hidden="1">
      <c r="A142" s="9" t="s">
        <v>10</v>
      </c>
      <c r="B142" s="9" t="s">
        <v>13</v>
      </c>
      <c r="C142" s="10" t="s">
        <v>14</v>
      </c>
      <c r="D142" s="23" t="s">
        <v>14</v>
      </c>
      <c r="E142" s="10"/>
      <c r="F142" s="10" t="s">
        <v>15</v>
      </c>
      <c r="G142" s="11" t="s">
        <v>16</v>
      </c>
      <c r="K142" s="69" t="s">
        <v>13</v>
      </c>
      <c r="L142" s="82"/>
      <c r="M142" s="66"/>
      <c r="N142" s="67">
        <f t="shared" si="2"/>
        <v>0</v>
      </c>
    </row>
    <row r="143" spans="1:14">
      <c r="A143" s="12"/>
      <c r="B143" s="13" t="s">
        <v>49</v>
      </c>
      <c r="C143" s="24"/>
      <c r="D143" s="13"/>
      <c r="E143" s="13"/>
      <c r="F143" s="14"/>
      <c r="G143" s="15"/>
      <c r="H143" s="64">
        <f>G144+G145</f>
        <v>30240</v>
      </c>
      <c r="K143" s="69" t="s">
        <v>100</v>
      </c>
      <c r="L143" s="82">
        <v>3.01</v>
      </c>
      <c r="M143" s="66">
        <v>30240</v>
      </c>
      <c r="N143" s="67">
        <f t="shared" si="2"/>
        <v>975.48387096774195</v>
      </c>
    </row>
    <row r="144" spans="1:14" hidden="1">
      <c r="A144" s="16">
        <v>42024</v>
      </c>
      <c r="B144" s="17">
        <v>515101</v>
      </c>
      <c r="C144" s="18">
        <v>70590</v>
      </c>
      <c r="D144" s="18">
        <v>70869</v>
      </c>
      <c r="E144" s="17">
        <f>D144-C144</f>
        <v>279</v>
      </c>
      <c r="F144" s="17">
        <v>10</v>
      </c>
      <c r="G144" s="17">
        <f>E144*F144</f>
        <v>2790</v>
      </c>
      <c r="K144" s="69">
        <v>515101</v>
      </c>
      <c r="L144" s="82"/>
      <c r="M144" s="66"/>
      <c r="N144" s="67">
        <f t="shared" si="2"/>
        <v>0</v>
      </c>
    </row>
    <row r="145" spans="1:14" hidden="1">
      <c r="A145" s="16">
        <v>42024</v>
      </c>
      <c r="B145" s="17">
        <v>600933</v>
      </c>
      <c r="C145" s="18">
        <v>8536</v>
      </c>
      <c r="D145" s="18">
        <v>9451</v>
      </c>
      <c r="E145" s="17">
        <f>D145-C145</f>
        <v>915</v>
      </c>
      <c r="F145" s="17">
        <v>30</v>
      </c>
      <c r="G145" s="17">
        <f>E145*F145</f>
        <v>27450</v>
      </c>
      <c r="K145" s="69">
        <v>600933</v>
      </c>
      <c r="L145" s="82"/>
      <c r="M145" s="66"/>
      <c r="N145" s="67">
        <f t="shared" si="2"/>
        <v>0</v>
      </c>
    </row>
    <row r="146" spans="1:14">
      <c r="A146" s="12"/>
      <c r="B146" s="25" t="s">
        <v>50</v>
      </c>
      <c r="C146" s="13"/>
      <c r="D146" s="13"/>
      <c r="E146" s="13"/>
      <c r="F146" s="14"/>
      <c r="G146" s="15"/>
      <c r="H146" s="64">
        <f>G147+G148+G149+G150</f>
        <v>25535</v>
      </c>
      <c r="K146" s="71" t="s">
        <v>101</v>
      </c>
      <c r="L146" s="84">
        <v>3.01</v>
      </c>
      <c r="M146" s="66">
        <v>25535</v>
      </c>
      <c r="N146" s="67">
        <f t="shared" si="2"/>
        <v>823.70967741935488</v>
      </c>
    </row>
    <row r="147" spans="1:14" hidden="1">
      <c r="A147" s="16">
        <v>42024</v>
      </c>
      <c r="B147" s="17">
        <v>22010</v>
      </c>
      <c r="C147" s="18">
        <v>9029</v>
      </c>
      <c r="D147" s="18">
        <v>9182</v>
      </c>
      <c r="E147" s="17">
        <f>D147-C147</f>
        <v>153</v>
      </c>
      <c r="F147" s="17">
        <v>15</v>
      </c>
      <c r="G147" s="17">
        <f>E147*F147</f>
        <v>2295</v>
      </c>
      <c r="K147" s="69">
        <v>22010</v>
      </c>
      <c r="L147" s="82"/>
      <c r="M147" s="66"/>
      <c r="N147" s="67">
        <f t="shared" si="2"/>
        <v>0</v>
      </c>
    </row>
    <row r="148" spans="1:14" hidden="1">
      <c r="A148" s="16">
        <v>42024</v>
      </c>
      <c r="B148" s="33">
        <v>9072036002797</v>
      </c>
      <c r="C148" s="18">
        <v>14348</v>
      </c>
      <c r="D148" s="18">
        <v>14827</v>
      </c>
      <c r="E148" s="17">
        <f>D148-C148</f>
        <v>479</v>
      </c>
      <c r="F148" s="17">
        <v>20</v>
      </c>
      <c r="G148" s="17">
        <f>E148*F148</f>
        <v>9580</v>
      </c>
      <c r="K148" s="70">
        <v>9072036002797</v>
      </c>
      <c r="L148" s="83"/>
      <c r="M148" s="66"/>
      <c r="N148" s="67">
        <f t="shared" si="2"/>
        <v>0</v>
      </c>
    </row>
    <row r="149" spans="1:14" hidden="1">
      <c r="A149" s="16">
        <v>42024</v>
      </c>
      <c r="B149" s="33">
        <v>9072036004251</v>
      </c>
      <c r="C149" s="18">
        <v>1906</v>
      </c>
      <c r="D149" s="18">
        <v>1962</v>
      </c>
      <c r="E149" s="17">
        <f>D149-C149</f>
        <v>56</v>
      </c>
      <c r="F149" s="17">
        <v>20</v>
      </c>
      <c r="G149" s="17">
        <f>E149*F149</f>
        <v>1120</v>
      </c>
      <c r="K149" s="70">
        <v>9072036004251</v>
      </c>
      <c r="L149" s="83"/>
      <c r="M149" s="66"/>
      <c r="N149" s="67">
        <f t="shared" si="2"/>
        <v>0</v>
      </c>
    </row>
    <row r="150" spans="1:14" hidden="1">
      <c r="A150" s="16">
        <v>42024</v>
      </c>
      <c r="B150" s="17">
        <v>22069</v>
      </c>
      <c r="C150" s="18">
        <v>30683</v>
      </c>
      <c r="D150" s="18">
        <v>31101</v>
      </c>
      <c r="E150" s="17">
        <f>D150-C150</f>
        <v>418</v>
      </c>
      <c r="F150" s="17">
        <v>30</v>
      </c>
      <c r="G150" s="17">
        <f>E150*F150</f>
        <v>12540</v>
      </c>
      <c r="K150" s="69">
        <v>22069</v>
      </c>
      <c r="L150" s="82"/>
      <c r="M150" s="66"/>
      <c r="N150" s="67">
        <f t="shared" si="2"/>
        <v>0</v>
      </c>
    </row>
    <row r="151" spans="1:14" ht="14.25" customHeight="1">
      <c r="A151" s="12"/>
      <c r="B151" s="25" t="s">
        <v>51</v>
      </c>
      <c r="C151" s="13"/>
      <c r="D151" s="13"/>
      <c r="E151" s="13"/>
      <c r="F151" s="14"/>
      <c r="G151" s="15"/>
      <c r="H151" s="64">
        <f>G152+G153+G154+G155</f>
        <v>7491.4000000000015</v>
      </c>
      <c r="K151" s="71" t="s">
        <v>102</v>
      </c>
      <c r="L151" s="84">
        <v>3.01</v>
      </c>
      <c r="M151" s="66">
        <v>7491.4000000000015</v>
      </c>
      <c r="N151" s="67">
        <f t="shared" si="2"/>
        <v>241.65806451612909</v>
      </c>
    </row>
    <row r="152" spans="1:14" hidden="1">
      <c r="A152" s="16">
        <v>42024</v>
      </c>
      <c r="B152" s="33">
        <v>8842062001530</v>
      </c>
      <c r="C152" s="18">
        <v>1515.2</v>
      </c>
      <c r="D152" s="18">
        <v>1515.2</v>
      </c>
      <c r="E152" s="17">
        <f>D152-C152</f>
        <v>0</v>
      </c>
      <c r="F152" s="17">
        <v>1</v>
      </c>
      <c r="G152" s="17">
        <f>E152*F152</f>
        <v>0</v>
      </c>
      <c r="K152" s="70">
        <v>8842062001530</v>
      </c>
      <c r="L152" s="83"/>
      <c r="M152" s="66"/>
      <c r="N152" s="67">
        <f t="shared" si="2"/>
        <v>0</v>
      </c>
    </row>
    <row r="153" spans="1:14" hidden="1">
      <c r="A153" s="16">
        <v>42024</v>
      </c>
      <c r="B153" s="33">
        <v>8842082001268</v>
      </c>
      <c r="C153" s="18">
        <v>4790.6000000000004</v>
      </c>
      <c r="D153" s="18">
        <v>5214</v>
      </c>
      <c r="E153" s="17">
        <f>D153-C153</f>
        <v>423.39999999999964</v>
      </c>
      <c r="F153" s="17">
        <v>1</v>
      </c>
      <c r="G153" s="17">
        <f>E153*F153</f>
        <v>423.39999999999964</v>
      </c>
      <c r="K153" s="70">
        <v>8842082001268</v>
      </c>
      <c r="L153" s="83"/>
      <c r="M153" s="66"/>
      <c r="N153" s="67">
        <f t="shared" si="2"/>
        <v>0</v>
      </c>
    </row>
    <row r="154" spans="1:14" hidden="1">
      <c r="A154" s="16">
        <v>42024</v>
      </c>
      <c r="B154" s="33">
        <v>13121196</v>
      </c>
      <c r="C154" s="18">
        <v>2002.6</v>
      </c>
      <c r="D154" s="18">
        <v>2199</v>
      </c>
      <c r="E154" s="17">
        <f>D154-C154</f>
        <v>196.40000000000009</v>
      </c>
      <c r="F154" s="17">
        <v>20</v>
      </c>
      <c r="G154" s="17">
        <f>E154*F154</f>
        <v>3928.0000000000018</v>
      </c>
      <c r="K154" s="70">
        <v>13121196</v>
      </c>
      <c r="L154" s="83"/>
      <c r="M154" s="66"/>
      <c r="N154" s="67">
        <f t="shared" si="2"/>
        <v>0</v>
      </c>
    </row>
    <row r="155" spans="1:14" hidden="1">
      <c r="A155" s="16">
        <v>42024</v>
      </c>
      <c r="B155" s="33">
        <v>13121931</v>
      </c>
      <c r="C155" s="18">
        <v>1670.1</v>
      </c>
      <c r="D155" s="18">
        <v>1827.1</v>
      </c>
      <c r="E155" s="17">
        <f>D155-C155</f>
        <v>157</v>
      </c>
      <c r="F155" s="17">
        <v>20</v>
      </c>
      <c r="G155" s="17">
        <f>E155*F155</f>
        <v>3140</v>
      </c>
      <c r="K155" s="70">
        <v>13121931</v>
      </c>
      <c r="L155" s="83"/>
      <c r="M155" s="66"/>
      <c r="N155" s="67">
        <f t="shared" si="2"/>
        <v>0</v>
      </c>
    </row>
    <row r="156" spans="1:14" hidden="1">
      <c r="A156" s="2" t="s">
        <v>0</v>
      </c>
      <c r="B156" s="2" t="s">
        <v>1</v>
      </c>
      <c r="C156" s="3" t="s">
        <v>2</v>
      </c>
      <c r="D156" s="4" t="s">
        <v>3</v>
      </c>
      <c r="E156" s="3" t="s">
        <v>4</v>
      </c>
      <c r="F156" s="3" t="s">
        <v>29</v>
      </c>
      <c r="G156" s="5" t="s">
        <v>6</v>
      </c>
      <c r="K156" s="69" t="s">
        <v>1</v>
      </c>
      <c r="L156" s="82"/>
      <c r="M156" s="66"/>
      <c r="N156" s="67">
        <f t="shared" si="2"/>
        <v>0</v>
      </c>
    </row>
    <row r="157" spans="1:14" hidden="1">
      <c r="A157" s="6" t="s">
        <v>7</v>
      </c>
      <c r="B157" s="6" t="s">
        <v>8</v>
      </c>
      <c r="C157" s="7" t="s">
        <v>9</v>
      </c>
      <c r="D157" s="22" t="s">
        <v>9</v>
      </c>
      <c r="E157" s="7" t="s">
        <v>10</v>
      </c>
      <c r="F157" s="7" t="s">
        <v>11</v>
      </c>
      <c r="G157" s="8" t="s">
        <v>12</v>
      </c>
      <c r="K157" s="69" t="s">
        <v>8</v>
      </c>
      <c r="L157" s="82"/>
      <c r="M157" s="66"/>
      <c r="N157" s="67">
        <f t="shared" si="2"/>
        <v>0</v>
      </c>
    </row>
    <row r="158" spans="1:14" hidden="1">
      <c r="A158" s="9" t="s">
        <v>10</v>
      </c>
      <c r="B158" s="9" t="s">
        <v>13</v>
      </c>
      <c r="C158" s="10" t="s">
        <v>14</v>
      </c>
      <c r="D158" s="23" t="s">
        <v>14</v>
      </c>
      <c r="E158" s="10"/>
      <c r="F158" s="10" t="s">
        <v>15</v>
      </c>
      <c r="G158" s="11" t="s">
        <v>16</v>
      </c>
      <c r="K158" s="69" t="s">
        <v>13</v>
      </c>
      <c r="L158" s="82"/>
      <c r="M158" s="66"/>
      <c r="N158" s="67">
        <f t="shared" si="2"/>
        <v>0</v>
      </c>
    </row>
    <row r="159" spans="1:14">
      <c r="A159" s="12"/>
      <c r="B159" s="13" t="s">
        <v>52</v>
      </c>
      <c r="C159" s="24"/>
      <c r="D159" s="13"/>
      <c r="E159" s="13"/>
      <c r="F159" s="14"/>
      <c r="G159" s="15"/>
      <c r="H159" s="64">
        <f>G160+G161+G162+G163</f>
        <v>50310</v>
      </c>
      <c r="K159" s="69" t="s">
        <v>103</v>
      </c>
      <c r="L159" s="82">
        <v>3.01</v>
      </c>
      <c r="M159" s="66">
        <v>50310</v>
      </c>
      <c r="N159" s="67">
        <f t="shared" si="2"/>
        <v>1622.9032258064517</v>
      </c>
    </row>
    <row r="160" spans="1:14" hidden="1">
      <c r="A160" s="16">
        <v>42024</v>
      </c>
      <c r="B160" s="17">
        <v>436726</v>
      </c>
      <c r="C160" s="18">
        <v>844</v>
      </c>
      <c r="D160" s="18">
        <v>890</v>
      </c>
      <c r="E160" s="17">
        <f>D160-C160</f>
        <v>46</v>
      </c>
      <c r="F160" s="17">
        <v>40</v>
      </c>
      <c r="G160" s="17">
        <f>E160*F160</f>
        <v>1840</v>
      </c>
      <c r="K160" s="69">
        <v>436726</v>
      </c>
      <c r="L160" s="82"/>
      <c r="M160" s="66"/>
      <c r="N160" s="67">
        <f t="shared" si="2"/>
        <v>0</v>
      </c>
    </row>
    <row r="161" spans="1:14" hidden="1">
      <c r="A161" s="16">
        <v>42024</v>
      </c>
      <c r="B161" s="17">
        <v>1522</v>
      </c>
      <c r="C161" s="18">
        <v>40519</v>
      </c>
      <c r="D161" s="18">
        <v>41146</v>
      </c>
      <c r="E161" s="17">
        <f>D161-C161</f>
        <v>627</v>
      </c>
      <c r="F161" s="17">
        <v>40</v>
      </c>
      <c r="G161" s="17">
        <f>E161*F161</f>
        <v>25080</v>
      </c>
      <c r="K161" s="69">
        <v>1522</v>
      </c>
      <c r="L161" s="82"/>
      <c r="M161" s="66"/>
      <c r="N161" s="67">
        <f t="shared" si="2"/>
        <v>0</v>
      </c>
    </row>
    <row r="162" spans="1:14" hidden="1">
      <c r="A162" s="16">
        <v>42024</v>
      </c>
      <c r="B162" s="17">
        <v>445127</v>
      </c>
      <c r="C162" s="18">
        <v>32360</v>
      </c>
      <c r="D162" s="18">
        <v>32583</v>
      </c>
      <c r="E162" s="17">
        <f>D162-C162</f>
        <v>223</v>
      </c>
      <c r="F162" s="17">
        <v>10</v>
      </c>
      <c r="G162" s="17">
        <f>E162*F162</f>
        <v>2230</v>
      </c>
      <c r="K162" s="69">
        <v>445127</v>
      </c>
      <c r="L162" s="82"/>
      <c r="M162" s="66"/>
      <c r="N162" s="67">
        <f t="shared" si="2"/>
        <v>0</v>
      </c>
    </row>
    <row r="163" spans="1:14" hidden="1">
      <c r="A163" s="16">
        <v>42024</v>
      </c>
      <c r="B163" s="17">
        <v>199184</v>
      </c>
      <c r="C163" s="18">
        <v>467</v>
      </c>
      <c r="D163" s="18">
        <v>996</v>
      </c>
      <c r="E163" s="17">
        <f>D163-C163</f>
        <v>529</v>
      </c>
      <c r="F163" s="17">
        <v>40</v>
      </c>
      <c r="G163" s="17">
        <f>E163*F163</f>
        <v>21160</v>
      </c>
      <c r="K163" s="69">
        <v>199184</v>
      </c>
      <c r="L163" s="82"/>
      <c r="M163" s="66"/>
      <c r="N163" s="67">
        <f t="shared" si="2"/>
        <v>0</v>
      </c>
    </row>
    <row r="164" spans="1:14">
      <c r="A164" s="12"/>
      <c r="B164" s="13" t="s">
        <v>53</v>
      </c>
      <c r="C164" s="13"/>
      <c r="D164" s="13"/>
      <c r="E164" s="13"/>
      <c r="F164" s="14"/>
      <c r="G164" s="15"/>
      <c r="H164" s="64">
        <f>G165+G166</f>
        <v>32480</v>
      </c>
      <c r="K164" s="69" t="s">
        <v>104</v>
      </c>
      <c r="L164" s="82">
        <v>3.01</v>
      </c>
      <c r="M164" s="66">
        <v>32480</v>
      </c>
      <c r="N164" s="67">
        <f t="shared" si="2"/>
        <v>1047.741935483871</v>
      </c>
    </row>
    <row r="165" spans="1:14" hidden="1">
      <c r="A165" s="16">
        <v>42024</v>
      </c>
      <c r="B165" s="17">
        <v>435207</v>
      </c>
      <c r="C165" s="35">
        <v>9055</v>
      </c>
      <c r="D165" s="35">
        <v>9135</v>
      </c>
      <c r="E165" s="17">
        <f>D165-C165</f>
        <v>80</v>
      </c>
      <c r="F165" s="17">
        <v>15</v>
      </c>
      <c r="G165" s="17">
        <f>E165*F165</f>
        <v>1200</v>
      </c>
      <c r="K165" s="69">
        <v>435207</v>
      </c>
      <c r="L165" s="82"/>
      <c r="M165" s="66"/>
      <c r="N165" s="67">
        <f t="shared" si="2"/>
        <v>0</v>
      </c>
    </row>
    <row r="166" spans="1:14" ht="15.75" hidden="1" customHeight="1">
      <c r="A166" s="16">
        <v>42024</v>
      </c>
      <c r="B166" s="17">
        <v>5468</v>
      </c>
      <c r="C166" s="18">
        <v>44666</v>
      </c>
      <c r="D166" s="18">
        <v>45448</v>
      </c>
      <c r="E166" s="17">
        <f>D166-C166</f>
        <v>782</v>
      </c>
      <c r="F166" s="17">
        <v>40</v>
      </c>
      <c r="G166" s="17">
        <f>E166*F166</f>
        <v>31280</v>
      </c>
      <c r="K166" s="69">
        <v>5468</v>
      </c>
      <c r="L166" s="82"/>
      <c r="M166" s="66"/>
      <c r="N166" s="67">
        <f t="shared" si="2"/>
        <v>0</v>
      </c>
    </row>
    <row r="167" spans="1:14" hidden="1">
      <c r="A167" s="2" t="s">
        <v>0</v>
      </c>
      <c r="B167" s="2" t="s">
        <v>1</v>
      </c>
      <c r="C167" s="3" t="s">
        <v>2</v>
      </c>
      <c r="D167" s="4" t="s">
        <v>3</v>
      </c>
      <c r="E167" s="3" t="s">
        <v>4</v>
      </c>
      <c r="F167" s="3" t="s">
        <v>29</v>
      </c>
      <c r="G167" s="5" t="s">
        <v>6</v>
      </c>
      <c r="K167" s="69" t="s">
        <v>1</v>
      </c>
      <c r="L167" s="82"/>
      <c r="M167" s="66"/>
      <c r="N167" s="67">
        <f t="shared" si="2"/>
        <v>0</v>
      </c>
    </row>
    <row r="168" spans="1:14" hidden="1">
      <c r="A168" s="6" t="s">
        <v>7</v>
      </c>
      <c r="B168" s="6" t="s">
        <v>8</v>
      </c>
      <c r="C168" s="7" t="s">
        <v>9</v>
      </c>
      <c r="D168" s="22" t="s">
        <v>9</v>
      </c>
      <c r="E168" s="7" t="s">
        <v>10</v>
      </c>
      <c r="F168" s="7" t="s">
        <v>11</v>
      </c>
      <c r="G168" s="8" t="s">
        <v>12</v>
      </c>
      <c r="K168" s="69" t="s">
        <v>8</v>
      </c>
      <c r="L168" s="82"/>
      <c r="M168" s="66"/>
      <c r="N168" s="67">
        <f t="shared" si="2"/>
        <v>0</v>
      </c>
    </row>
    <row r="169" spans="1:14" hidden="1">
      <c r="A169" s="9" t="s">
        <v>10</v>
      </c>
      <c r="B169" s="9" t="s">
        <v>13</v>
      </c>
      <c r="C169" s="10" t="s">
        <v>14</v>
      </c>
      <c r="D169" s="23" t="s">
        <v>14</v>
      </c>
      <c r="E169" s="10"/>
      <c r="F169" s="10" t="s">
        <v>15</v>
      </c>
      <c r="G169" s="11" t="s">
        <v>16</v>
      </c>
      <c r="K169" s="69" t="s">
        <v>13</v>
      </c>
      <c r="L169" s="82"/>
      <c r="M169" s="66"/>
      <c r="N169" s="67">
        <f t="shared" si="2"/>
        <v>0</v>
      </c>
    </row>
    <row r="170" spans="1:14">
      <c r="A170" s="12"/>
      <c r="B170" s="13" t="s">
        <v>54</v>
      </c>
      <c r="C170" s="24"/>
      <c r="D170" s="13"/>
      <c r="E170" s="13"/>
      <c r="F170" s="14"/>
      <c r="G170" s="15"/>
      <c r="H170" s="64">
        <f>G171+G172+G175</f>
        <v>27658</v>
      </c>
      <c r="K170" s="69" t="s">
        <v>105</v>
      </c>
      <c r="L170" s="82">
        <v>3.01</v>
      </c>
      <c r="M170" s="66">
        <v>27658</v>
      </c>
      <c r="N170" s="67">
        <f t="shared" si="2"/>
        <v>892.19354838709683</v>
      </c>
    </row>
    <row r="171" spans="1:14" hidden="1">
      <c r="A171" s="16">
        <v>42024</v>
      </c>
      <c r="B171" s="17">
        <v>514132</v>
      </c>
      <c r="C171" s="35">
        <v>27359</v>
      </c>
      <c r="D171" s="35">
        <v>27567</v>
      </c>
      <c r="E171" s="17">
        <f>D171-C171</f>
        <v>208</v>
      </c>
      <c r="F171" s="17">
        <v>10</v>
      </c>
      <c r="G171" s="17">
        <f>E171*F171</f>
        <v>2080</v>
      </c>
      <c r="K171" s="69">
        <v>514132</v>
      </c>
      <c r="L171" s="82"/>
      <c r="M171" s="66"/>
      <c r="N171" s="67">
        <f t="shared" si="2"/>
        <v>0</v>
      </c>
    </row>
    <row r="172" spans="1:14" hidden="1">
      <c r="A172" s="16">
        <v>42024</v>
      </c>
      <c r="B172" s="17">
        <v>441192</v>
      </c>
      <c r="C172" s="35">
        <v>86086</v>
      </c>
      <c r="D172" s="35">
        <v>86628</v>
      </c>
      <c r="E172" s="17">
        <f>D172-C172</f>
        <v>542</v>
      </c>
      <c r="F172" s="17">
        <v>40</v>
      </c>
      <c r="G172" s="17">
        <f>E172*F172</f>
        <v>21680</v>
      </c>
      <c r="K172" s="69">
        <v>441192</v>
      </c>
      <c r="L172" s="82"/>
      <c r="M172" s="66"/>
      <c r="N172" s="67">
        <f t="shared" si="2"/>
        <v>0</v>
      </c>
    </row>
    <row r="173" spans="1:14" hidden="1">
      <c r="A173" s="16">
        <v>42024</v>
      </c>
      <c r="B173" s="17" t="s">
        <v>55</v>
      </c>
      <c r="C173" s="35">
        <v>340984</v>
      </c>
      <c r="D173" s="35">
        <v>345583</v>
      </c>
      <c r="E173" s="17">
        <f>D173-C173</f>
        <v>4599</v>
      </c>
      <c r="F173" s="17">
        <v>1</v>
      </c>
      <c r="G173" s="17">
        <f>E173*F173</f>
        <v>4599</v>
      </c>
      <c r="K173" s="69" t="s">
        <v>55</v>
      </c>
      <c r="L173" s="82"/>
      <c r="M173" s="66"/>
      <c r="N173" s="67">
        <f t="shared" si="2"/>
        <v>0</v>
      </c>
    </row>
    <row r="174" spans="1:14" hidden="1">
      <c r="A174" s="15"/>
      <c r="B174" s="15"/>
      <c r="C174" s="35"/>
      <c r="D174" s="35"/>
      <c r="E174" s="17"/>
      <c r="F174" s="17"/>
      <c r="G174" s="17"/>
      <c r="K174" s="69"/>
      <c r="L174" s="82"/>
      <c r="M174" s="66"/>
      <c r="N174" s="67">
        <f t="shared" si="2"/>
        <v>0</v>
      </c>
    </row>
    <row r="175" spans="1:14" hidden="1">
      <c r="A175" s="16">
        <v>42024</v>
      </c>
      <c r="B175" s="33">
        <v>9131054013929</v>
      </c>
      <c r="C175" s="35">
        <v>49548</v>
      </c>
      <c r="D175" s="35">
        <v>53446</v>
      </c>
      <c r="E175" s="17">
        <f>D175-C175</f>
        <v>3898</v>
      </c>
      <c r="F175" s="17">
        <v>1</v>
      </c>
      <c r="G175" s="17">
        <f>E175*F175</f>
        <v>3898</v>
      </c>
      <c r="K175" s="70">
        <v>9131054013929</v>
      </c>
      <c r="L175" s="83"/>
      <c r="M175" s="66"/>
      <c r="N175" s="67">
        <f t="shared" si="2"/>
        <v>0</v>
      </c>
    </row>
    <row r="176" spans="1:14" hidden="1">
      <c r="A176" s="2" t="s">
        <v>0</v>
      </c>
      <c r="B176" s="2" t="s">
        <v>1</v>
      </c>
      <c r="C176" s="3" t="s">
        <v>2</v>
      </c>
      <c r="D176" s="4" t="s">
        <v>3</v>
      </c>
      <c r="E176" s="3" t="s">
        <v>4</v>
      </c>
      <c r="F176" s="3" t="s">
        <v>29</v>
      </c>
      <c r="G176" s="5" t="s">
        <v>6</v>
      </c>
      <c r="K176" s="69" t="s">
        <v>1</v>
      </c>
      <c r="L176" s="82"/>
      <c r="M176" s="66"/>
      <c r="N176" s="67">
        <f t="shared" si="2"/>
        <v>0</v>
      </c>
    </row>
    <row r="177" spans="1:14" hidden="1">
      <c r="A177" s="6" t="s">
        <v>7</v>
      </c>
      <c r="B177" s="6" t="s">
        <v>8</v>
      </c>
      <c r="C177" s="7" t="s">
        <v>9</v>
      </c>
      <c r="D177" s="22" t="s">
        <v>9</v>
      </c>
      <c r="E177" s="7" t="s">
        <v>10</v>
      </c>
      <c r="F177" s="7" t="s">
        <v>11</v>
      </c>
      <c r="G177" s="8" t="s">
        <v>12</v>
      </c>
      <c r="K177" s="69" t="s">
        <v>8</v>
      </c>
      <c r="L177" s="82"/>
      <c r="M177" s="66"/>
      <c r="N177" s="67">
        <f t="shared" si="2"/>
        <v>0</v>
      </c>
    </row>
    <row r="178" spans="1:14" hidden="1">
      <c r="A178" s="9" t="s">
        <v>10</v>
      </c>
      <c r="B178" s="9" t="s">
        <v>13</v>
      </c>
      <c r="C178" s="10" t="s">
        <v>14</v>
      </c>
      <c r="D178" s="23" t="s">
        <v>14</v>
      </c>
      <c r="E178" s="10"/>
      <c r="F178" s="10" t="s">
        <v>15</v>
      </c>
      <c r="G178" s="11" t="s">
        <v>16</v>
      </c>
      <c r="K178" s="69" t="s">
        <v>13</v>
      </c>
      <c r="L178" s="82"/>
      <c r="M178" s="66"/>
      <c r="N178" s="67">
        <f t="shared" si="2"/>
        <v>0</v>
      </c>
    </row>
    <row r="179" spans="1:14">
      <c r="A179" s="12"/>
      <c r="B179" s="13" t="s">
        <v>56</v>
      </c>
      <c r="C179" s="24"/>
      <c r="D179" s="13"/>
      <c r="E179" s="13"/>
      <c r="F179" s="14"/>
      <c r="G179" s="15"/>
      <c r="H179" s="64">
        <f>G180+G181</f>
        <v>46934.000000000015</v>
      </c>
      <c r="K179" s="69" t="s">
        <v>106</v>
      </c>
      <c r="L179" s="82">
        <v>3.01</v>
      </c>
      <c r="M179" s="66">
        <v>46934.000000000015</v>
      </c>
      <c r="N179" s="67">
        <f t="shared" si="2"/>
        <v>1514.0000000000005</v>
      </c>
    </row>
    <row r="180" spans="1:14" hidden="1">
      <c r="A180" s="16">
        <v>42024</v>
      </c>
      <c r="B180" s="17">
        <v>110341</v>
      </c>
      <c r="C180" s="35">
        <v>34111.199999999997</v>
      </c>
      <c r="D180" s="35">
        <v>34652.6</v>
      </c>
      <c r="E180" s="17">
        <f>D180-C180</f>
        <v>541.40000000000146</v>
      </c>
      <c r="F180" s="17">
        <v>10</v>
      </c>
      <c r="G180" s="17">
        <f>E180*F180</f>
        <v>5414.0000000000146</v>
      </c>
      <c r="K180" s="69">
        <v>110341</v>
      </c>
      <c r="L180" s="82"/>
      <c r="M180" s="66"/>
      <c r="N180" s="67">
        <f t="shared" si="2"/>
        <v>0</v>
      </c>
    </row>
    <row r="181" spans="1:14" hidden="1">
      <c r="A181" s="16">
        <v>42024</v>
      </c>
      <c r="B181" s="17">
        <v>110062</v>
      </c>
      <c r="C181" s="35">
        <v>65893</v>
      </c>
      <c r="D181" s="35">
        <v>66585</v>
      </c>
      <c r="E181" s="17">
        <f>D181-C181</f>
        <v>692</v>
      </c>
      <c r="F181" s="17">
        <v>60</v>
      </c>
      <c r="G181" s="17">
        <f>E181*F181</f>
        <v>41520</v>
      </c>
      <c r="K181" s="69">
        <v>110062</v>
      </c>
      <c r="L181" s="82"/>
      <c r="M181" s="66"/>
      <c r="N181" s="67">
        <f t="shared" si="2"/>
        <v>0</v>
      </c>
    </row>
    <row r="182" spans="1:14">
      <c r="A182" s="12"/>
      <c r="B182" s="13" t="s">
        <v>57</v>
      </c>
      <c r="C182" s="35"/>
      <c r="D182" s="13"/>
      <c r="E182" s="13"/>
      <c r="F182" s="14"/>
      <c r="G182" s="15"/>
      <c r="H182" s="64">
        <f>G183+G184</f>
        <v>27751.00000000024</v>
      </c>
      <c r="K182" s="69" t="s">
        <v>107</v>
      </c>
      <c r="L182" s="82">
        <v>3.01</v>
      </c>
      <c r="M182" s="66">
        <v>27751.00000000024</v>
      </c>
      <c r="N182" s="67">
        <f t="shared" si="2"/>
        <v>895.19354838710456</v>
      </c>
    </row>
    <row r="183" spans="1:14" hidden="1">
      <c r="A183" s="16">
        <v>42024</v>
      </c>
      <c r="B183" s="17">
        <v>158</v>
      </c>
      <c r="C183" s="35">
        <v>21440.3</v>
      </c>
      <c r="D183" s="35">
        <v>21653</v>
      </c>
      <c r="E183" s="17">
        <f>D183-C183</f>
        <v>212.70000000000073</v>
      </c>
      <c r="F183" s="17">
        <v>10</v>
      </c>
      <c r="G183" s="17">
        <f>E183*F183</f>
        <v>2127.0000000000073</v>
      </c>
      <c r="K183" s="69">
        <v>158</v>
      </c>
      <c r="L183" s="82"/>
      <c r="M183" s="66"/>
      <c r="N183" s="67">
        <f t="shared" si="2"/>
        <v>0</v>
      </c>
    </row>
    <row r="184" spans="1:14" hidden="1">
      <c r="A184" s="16">
        <v>42024</v>
      </c>
      <c r="B184" s="17">
        <v>1231</v>
      </c>
      <c r="C184" s="35">
        <v>99291.4</v>
      </c>
      <c r="D184" s="35">
        <v>99932</v>
      </c>
      <c r="E184" s="17">
        <f>D184-C184</f>
        <v>640.60000000000582</v>
      </c>
      <c r="F184" s="17">
        <v>40</v>
      </c>
      <c r="G184" s="17">
        <f>E184*F184</f>
        <v>25624.000000000233</v>
      </c>
      <c r="K184" s="69">
        <v>1231</v>
      </c>
      <c r="L184" s="82"/>
      <c r="M184" s="66"/>
      <c r="N184" s="67">
        <f t="shared" si="2"/>
        <v>0</v>
      </c>
    </row>
    <row r="185" spans="1:14">
      <c r="A185" s="12"/>
      <c r="B185" s="13" t="s">
        <v>58</v>
      </c>
      <c r="D185" s="13"/>
      <c r="E185" s="13"/>
      <c r="F185" s="14"/>
      <c r="G185" s="15"/>
      <c r="H185" s="64">
        <f>G186+G187+G188+G189</f>
        <v>40999.000000000204</v>
      </c>
      <c r="K185" s="69" t="s">
        <v>108</v>
      </c>
      <c r="L185" s="82">
        <v>3.01</v>
      </c>
      <c r="M185" s="66">
        <v>40999.000000000204</v>
      </c>
      <c r="N185" s="67">
        <f t="shared" si="2"/>
        <v>1322.5483870967807</v>
      </c>
    </row>
    <row r="186" spans="1:14" hidden="1">
      <c r="A186" s="16">
        <v>42024</v>
      </c>
      <c r="B186" s="17">
        <v>364</v>
      </c>
      <c r="C186" s="35">
        <v>14361.5</v>
      </c>
      <c r="D186" s="35">
        <v>14505.4</v>
      </c>
      <c r="E186" s="17">
        <f>D186-C186</f>
        <v>143.89999999999964</v>
      </c>
      <c r="F186" s="17">
        <v>15</v>
      </c>
      <c r="G186" s="17">
        <f>E186*F186</f>
        <v>2158.4999999999945</v>
      </c>
      <c r="K186" s="69">
        <v>364</v>
      </c>
      <c r="L186" s="82"/>
      <c r="M186" s="66"/>
      <c r="N186" s="67">
        <f t="shared" si="2"/>
        <v>0</v>
      </c>
    </row>
    <row r="187" spans="1:14" hidden="1">
      <c r="A187" s="16">
        <v>42024</v>
      </c>
      <c r="B187" s="17">
        <v>84</v>
      </c>
      <c r="C187" s="35">
        <v>89319.7</v>
      </c>
      <c r="D187" s="35">
        <v>90050</v>
      </c>
      <c r="E187" s="17">
        <f>D187-C187</f>
        <v>730.30000000000291</v>
      </c>
      <c r="F187" s="17">
        <v>40</v>
      </c>
      <c r="G187" s="17">
        <f>E187*F187</f>
        <v>29212.000000000116</v>
      </c>
      <c r="K187" s="69">
        <v>84</v>
      </c>
      <c r="L187" s="82"/>
      <c r="M187" s="66"/>
      <c r="N187" s="67">
        <f t="shared" si="2"/>
        <v>0</v>
      </c>
    </row>
    <row r="188" spans="1:14" hidden="1">
      <c r="A188" s="16">
        <v>42024</v>
      </c>
      <c r="B188" s="17">
        <v>1009</v>
      </c>
      <c r="C188" s="35">
        <v>22671</v>
      </c>
      <c r="D188" s="35">
        <v>22892.1</v>
      </c>
      <c r="E188" s="17">
        <f>D188-C188</f>
        <v>221.09999999999854</v>
      </c>
      <c r="F188" s="17">
        <v>15</v>
      </c>
      <c r="G188" s="17">
        <f>E188*F188</f>
        <v>3316.4999999999782</v>
      </c>
      <c r="K188" s="69">
        <v>1009</v>
      </c>
      <c r="L188" s="82"/>
      <c r="M188" s="66"/>
      <c r="N188" s="67">
        <f t="shared" si="2"/>
        <v>0</v>
      </c>
    </row>
    <row r="189" spans="1:14" hidden="1">
      <c r="A189" s="16">
        <v>42024</v>
      </c>
      <c r="B189" s="17">
        <v>1054</v>
      </c>
      <c r="C189" s="35">
        <v>58344.2</v>
      </c>
      <c r="D189" s="35">
        <v>58502</v>
      </c>
      <c r="E189" s="17">
        <f>D189-C189</f>
        <v>157.80000000000291</v>
      </c>
      <c r="F189" s="17">
        <v>40</v>
      </c>
      <c r="G189" s="17">
        <f>E189*F189</f>
        <v>6312.0000000001164</v>
      </c>
      <c r="K189" s="69">
        <v>1054</v>
      </c>
      <c r="L189" s="82"/>
      <c r="M189" s="66"/>
      <c r="N189" s="67">
        <f t="shared" si="2"/>
        <v>0</v>
      </c>
    </row>
    <row r="190" spans="1:14">
      <c r="A190" s="12"/>
      <c r="B190" s="13" t="s">
        <v>59</v>
      </c>
      <c r="C190" s="35"/>
      <c r="D190" s="13"/>
      <c r="E190" s="13"/>
      <c r="F190" s="14"/>
      <c r="G190" s="15"/>
      <c r="H190" s="21">
        <f>G191+G192</f>
        <v>32480</v>
      </c>
      <c r="K190" s="69" t="s">
        <v>109</v>
      </c>
      <c r="L190" s="82">
        <v>3.01</v>
      </c>
      <c r="M190" s="66">
        <v>32480</v>
      </c>
      <c r="N190" s="67">
        <f t="shared" si="2"/>
        <v>1047.741935483871</v>
      </c>
    </row>
    <row r="191" spans="1:14" hidden="1">
      <c r="A191" s="16">
        <v>42024</v>
      </c>
      <c r="B191" s="27">
        <v>441188</v>
      </c>
      <c r="C191" s="46">
        <v>16947</v>
      </c>
      <c r="D191" s="46">
        <v>17125</v>
      </c>
      <c r="E191" s="27">
        <f>D191-C191</f>
        <v>178</v>
      </c>
      <c r="F191" s="27">
        <v>20</v>
      </c>
      <c r="G191" s="27">
        <f>E191*F191</f>
        <v>3560</v>
      </c>
      <c r="K191" s="74">
        <v>441188</v>
      </c>
      <c r="L191" s="87"/>
      <c r="M191" s="66"/>
      <c r="N191" s="67">
        <f t="shared" si="2"/>
        <v>0</v>
      </c>
    </row>
    <row r="192" spans="1:14" hidden="1">
      <c r="A192" s="16">
        <v>42024</v>
      </c>
      <c r="B192" s="27">
        <v>212454</v>
      </c>
      <c r="C192" s="46">
        <v>1567</v>
      </c>
      <c r="D192" s="46">
        <v>2049</v>
      </c>
      <c r="E192" s="27">
        <f>D192-C192</f>
        <v>482</v>
      </c>
      <c r="F192" s="27">
        <v>60</v>
      </c>
      <c r="G192" s="27">
        <f>E192*F192</f>
        <v>28920</v>
      </c>
      <c r="K192" s="74">
        <v>212454</v>
      </c>
      <c r="L192" s="87"/>
      <c r="M192" s="66"/>
      <c r="N192" s="67">
        <f t="shared" si="2"/>
        <v>0</v>
      </c>
    </row>
    <row r="193" spans="1:14">
      <c r="A193" s="12"/>
      <c r="B193" s="13" t="s">
        <v>60</v>
      </c>
      <c r="C193" s="13"/>
      <c r="D193" s="13"/>
      <c r="E193" s="13"/>
      <c r="F193" s="14"/>
      <c r="G193" s="15"/>
      <c r="H193" s="64">
        <f>G194+G195+G196+G197</f>
        <v>33681.600000000035</v>
      </c>
      <c r="K193" s="69" t="s">
        <v>110</v>
      </c>
      <c r="L193" s="82">
        <v>2.1</v>
      </c>
      <c r="M193" s="66">
        <v>33681.600000000035</v>
      </c>
      <c r="N193" s="67">
        <f t="shared" si="2"/>
        <v>1086.5032258064527</v>
      </c>
    </row>
    <row r="194" spans="1:14" hidden="1">
      <c r="A194" s="17" t="s">
        <v>61</v>
      </c>
      <c r="B194" s="47">
        <v>907203000398</v>
      </c>
      <c r="C194" s="35">
        <v>10577.7</v>
      </c>
      <c r="D194" s="35">
        <v>10835.7</v>
      </c>
      <c r="E194" s="17">
        <f>D194-C194</f>
        <v>258</v>
      </c>
      <c r="F194" s="17">
        <v>20</v>
      </c>
      <c r="G194" s="17">
        <f>E194*F194</f>
        <v>5160</v>
      </c>
      <c r="K194" s="75">
        <v>907203000398</v>
      </c>
      <c r="L194" s="88"/>
      <c r="M194" s="66"/>
      <c r="N194" s="67">
        <f t="shared" si="2"/>
        <v>0</v>
      </c>
    </row>
    <row r="195" spans="1:14" hidden="1">
      <c r="A195" s="16">
        <v>42024</v>
      </c>
      <c r="B195" s="47">
        <v>9072024003000</v>
      </c>
      <c r="C195" s="35">
        <v>12476.8</v>
      </c>
      <c r="D195" s="35">
        <v>12865.1</v>
      </c>
      <c r="E195" s="17">
        <f>D195-C195</f>
        <v>388.30000000000109</v>
      </c>
      <c r="F195" s="17">
        <v>30</v>
      </c>
      <c r="G195" s="17">
        <f>E195*F195</f>
        <v>11649.000000000033</v>
      </c>
      <c r="K195" s="75">
        <v>9072024003000</v>
      </c>
      <c r="L195" s="88"/>
      <c r="M195" s="66"/>
      <c r="N195" s="67">
        <f t="shared" si="2"/>
        <v>0</v>
      </c>
    </row>
    <row r="196" spans="1:14" hidden="1">
      <c r="A196" s="16">
        <v>42024</v>
      </c>
      <c r="B196" s="48">
        <v>9081030011077</v>
      </c>
      <c r="C196" s="49">
        <v>65436.9</v>
      </c>
      <c r="D196" s="49">
        <v>67144.5</v>
      </c>
      <c r="E196" s="48">
        <f>D196-C196</f>
        <v>1707.5999999999985</v>
      </c>
      <c r="F196" s="50">
        <v>1</v>
      </c>
      <c r="G196" s="50">
        <f>E196*F196</f>
        <v>1707.5999999999985</v>
      </c>
      <c r="K196" s="76">
        <v>9081030011077</v>
      </c>
      <c r="L196" s="89"/>
      <c r="M196" s="66"/>
      <c r="N196" s="67">
        <f t="shared" si="2"/>
        <v>0</v>
      </c>
    </row>
    <row r="197" spans="1:14" hidden="1">
      <c r="A197" s="16">
        <v>42024</v>
      </c>
      <c r="B197" s="47">
        <v>9072031002328</v>
      </c>
      <c r="C197" s="18">
        <v>15405.5</v>
      </c>
      <c r="D197" s="18">
        <v>15911</v>
      </c>
      <c r="E197" s="17">
        <f>D197-C197</f>
        <v>505.5</v>
      </c>
      <c r="F197" s="17">
        <v>30</v>
      </c>
      <c r="G197" s="17">
        <f>E197*F197</f>
        <v>15165</v>
      </c>
      <c r="K197" s="75">
        <v>9072031002328</v>
      </c>
      <c r="L197" s="88"/>
      <c r="M197" s="66"/>
      <c r="N197" s="67">
        <f t="shared" si="2"/>
        <v>0</v>
      </c>
    </row>
    <row r="198" spans="1:14" hidden="1">
      <c r="A198" s="15"/>
      <c r="B198" s="33"/>
      <c r="C198" s="18"/>
      <c r="D198" s="18"/>
      <c r="E198" s="33"/>
      <c r="F198" s="17"/>
      <c r="G198" s="17"/>
      <c r="K198" s="70"/>
      <c r="L198" s="83"/>
      <c r="M198" s="66"/>
      <c r="N198" s="67">
        <f t="shared" si="2"/>
        <v>0</v>
      </c>
    </row>
    <row r="199" spans="1:14" hidden="1">
      <c r="A199" s="15"/>
      <c r="B199" s="15"/>
      <c r="C199" s="18"/>
      <c r="D199" s="18"/>
      <c r="E199" s="15"/>
      <c r="F199" s="15"/>
      <c r="G199" s="15"/>
      <c r="K199" s="69"/>
      <c r="L199" s="82"/>
      <c r="M199" s="66"/>
      <c r="N199" s="67">
        <f t="shared" si="2"/>
        <v>0</v>
      </c>
    </row>
    <row r="200" spans="1:14" hidden="1">
      <c r="A200" s="15"/>
      <c r="B200" s="17"/>
      <c r="C200" s="18"/>
      <c r="D200" s="18"/>
      <c r="E200" s="33"/>
      <c r="F200" s="17"/>
      <c r="G200" s="17"/>
      <c r="K200" s="69"/>
      <c r="L200" s="82"/>
      <c r="M200" s="66"/>
      <c r="N200" s="67">
        <f t="shared" ref="N200:N263" si="3">M200/31</f>
        <v>0</v>
      </c>
    </row>
    <row r="201" spans="1:14" hidden="1">
      <c r="A201" s="2" t="s">
        <v>0</v>
      </c>
      <c r="B201" s="2" t="s">
        <v>1</v>
      </c>
      <c r="C201" s="3" t="s">
        <v>2</v>
      </c>
      <c r="D201" s="4" t="s">
        <v>3</v>
      </c>
      <c r="E201" s="3" t="s">
        <v>4</v>
      </c>
      <c r="F201" s="3" t="s">
        <v>29</v>
      </c>
      <c r="G201" s="5" t="s">
        <v>6</v>
      </c>
      <c r="K201" s="69" t="s">
        <v>1</v>
      </c>
      <c r="L201" s="82"/>
      <c r="M201" s="66"/>
      <c r="N201" s="67">
        <f t="shared" si="3"/>
        <v>0</v>
      </c>
    </row>
    <row r="202" spans="1:14" hidden="1">
      <c r="A202" s="6" t="s">
        <v>7</v>
      </c>
      <c r="B202" s="6" t="s">
        <v>8</v>
      </c>
      <c r="C202" s="7" t="s">
        <v>9</v>
      </c>
      <c r="D202" s="22" t="s">
        <v>9</v>
      </c>
      <c r="E202" s="7" t="s">
        <v>10</v>
      </c>
      <c r="F202" s="7" t="s">
        <v>11</v>
      </c>
      <c r="G202" s="8" t="s">
        <v>12</v>
      </c>
      <c r="K202" s="69" t="s">
        <v>8</v>
      </c>
      <c r="L202" s="82"/>
      <c r="M202" s="66"/>
      <c r="N202" s="67">
        <f t="shared" si="3"/>
        <v>0</v>
      </c>
    </row>
    <row r="203" spans="1:14" hidden="1">
      <c r="A203" s="9" t="s">
        <v>10</v>
      </c>
      <c r="B203" s="9" t="s">
        <v>13</v>
      </c>
      <c r="C203" s="10" t="s">
        <v>14</v>
      </c>
      <c r="D203" s="23" t="s">
        <v>14</v>
      </c>
      <c r="E203" s="10"/>
      <c r="F203" s="10" t="s">
        <v>15</v>
      </c>
      <c r="G203" s="11" t="s">
        <v>16</v>
      </c>
      <c r="K203" s="69" t="s">
        <v>13</v>
      </c>
      <c r="L203" s="82"/>
      <c r="M203" s="66"/>
      <c r="N203" s="67">
        <f t="shared" si="3"/>
        <v>0</v>
      </c>
    </row>
    <row r="204" spans="1:14">
      <c r="A204" s="12"/>
      <c r="B204" s="13" t="s">
        <v>62</v>
      </c>
      <c r="C204" s="24"/>
      <c r="D204" s="13"/>
      <c r="E204" s="13"/>
      <c r="F204" s="13"/>
      <c r="G204" s="15"/>
      <c r="H204" s="64">
        <f>G205+G206</f>
        <v>15886.400000000112</v>
      </c>
      <c r="K204" s="69" t="s">
        <v>111</v>
      </c>
      <c r="L204" s="82">
        <v>3.01</v>
      </c>
      <c r="M204" s="66">
        <v>15886.400000000112</v>
      </c>
      <c r="N204" s="67">
        <f t="shared" si="3"/>
        <v>512.46451612903593</v>
      </c>
    </row>
    <row r="205" spans="1:14" hidden="1">
      <c r="A205" s="16">
        <v>42024</v>
      </c>
      <c r="B205" s="17">
        <v>301715</v>
      </c>
      <c r="C205" s="18">
        <v>1906.94</v>
      </c>
      <c r="D205" s="18">
        <v>1939.3</v>
      </c>
      <c r="E205" s="17">
        <f>D205-C205</f>
        <v>32.3599999999999</v>
      </c>
      <c r="F205" s="36">
        <v>40</v>
      </c>
      <c r="G205" s="17">
        <f>E205*F205</f>
        <v>1294.399999999996</v>
      </c>
      <c r="K205" s="69">
        <v>301715</v>
      </c>
      <c r="L205" s="82"/>
      <c r="M205" s="66"/>
      <c r="N205" s="67">
        <f t="shared" si="3"/>
        <v>0</v>
      </c>
    </row>
    <row r="206" spans="1:14" hidden="1">
      <c r="A206" s="16">
        <v>42024</v>
      </c>
      <c r="B206" s="17">
        <v>63676</v>
      </c>
      <c r="C206" s="18">
        <v>20616.599999999999</v>
      </c>
      <c r="D206" s="18">
        <v>20981.4</v>
      </c>
      <c r="E206" s="17">
        <f>D206-C206</f>
        <v>364.80000000000291</v>
      </c>
      <c r="F206" s="36">
        <v>40</v>
      </c>
      <c r="G206" s="17">
        <f>E206*F206</f>
        <v>14592.000000000116</v>
      </c>
      <c r="K206" s="69">
        <v>63676</v>
      </c>
      <c r="L206" s="82"/>
      <c r="M206" s="66"/>
      <c r="N206" s="67">
        <f t="shared" si="3"/>
        <v>0</v>
      </c>
    </row>
    <row r="207" spans="1:14" ht="14.25" customHeight="1">
      <c r="A207" s="12"/>
      <c r="B207" s="13" t="s">
        <v>63</v>
      </c>
      <c r="C207" s="13"/>
      <c r="D207" s="13"/>
      <c r="E207" s="13"/>
      <c r="F207" s="13"/>
      <c r="G207" s="15"/>
      <c r="H207" s="64">
        <f>G208+G209+G210</f>
        <v>14589.999999999935</v>
      </c>
      <c r="K207" s="69" t="s">
        <v>112</v>
      </c>
      <c r="L207" s="82">
        <v>3.01</v>
      </c>
      <c r="M207" s="66">
        <v>14589.999999999935</v>
      </c>
      <c r="N207" s="67">
        <f t="shared" si="3"/>
        <v>470.64516129032046</v>
      </c>
    </row>
    <row r="208" spans="1:14" hidden="1">
      <c r="A208" s="16">
        <v>42024</v>
      </c>
      <c r="B208" s="17">
        <v>15202207</v>
      </c>
      <c r="C208" s="18">
        <v>3634.2</v>
      </c>
      <c r="D208" s="18">
        <v>3685.1</v>
      </c>
      <c r="E208" s="17">
        <f>D208-C208</f>
        <v>50.900000000000091</v>
      </c>
      <c r="F208" s="36">
        <v>10</v>
      </c>
      <c r="G208" s="17">
        <f>E208*F208</f>
        <v>509.00000000000091</v>
      </c>
      <c r="K208" s="69">
        <v>15202207</v>
      </c>
      <c r="L208" s="82"/>
      <c r="M208" s="66"/>
      <c r="N208" s="67">
        <f t="shared" si="3"/>
        <v>0</v>
      </c>
    </row>
    <row r="209" spans="1:14" hidden="1">
      <c r="A209" s="16">
        <v>42024</v>
      </c>
      <c r="B209" s="17">
        <v>18507207</v>
      </c>
      <c r="C209" s="18">
        <v>30600.2</v>
      </c>
      <c r="D209" s="18">
        <v>31044.1</v>
      </c>
      <c r="E209" s="17">
        <f>D209-C209</f>
        <v>443.89999999999782</v>
      </c>
      <c r="F209" s="36">
        <v>30</v>
      </c>
      <c r="G209" s="17">
        <f>E209*F209</f>
        <v>13316.999999999935</v>
      </c>
      <c r="K209" s="69">
        <v>18507207</v>
      </c>
      <c r="L209" s="82"/>
      <c r="M209" s="66"/>
      <c r="N209" s="67">
        <f t="shared" si="3"/>
        <v>0</v>
      </c>
    </row>
    <row r="210" spans="1:14" hidden="1">
      <c r="A210" s="16">
        <v>42024</v>
      </c>
      <c r="B210" s="17">
        <v>28977607</v>
      </c>
      <c r="C210" s="18">
        <v>4037.6</v>
      </c>
      <c r="D210" s="18">
        <v>4114</v>
      </c>
      <c r="E210" s="17">
        <f>D210-C210</f>
        <v>76.400000000000091</v>
      </c>
      <c r="F210" s="36">
        <v>10</v>
      </c>
      <c r="G210" s="17">
        <f>E210*F210</f>
        <v>764.00000000000091</v>
      </c>
      <c r="K210" s="69">
        <v>28977607</v>
      </c>
      <c r="L210" s="82"/>
      <c r="M210" s="66"/>
      <c r="N210" s="67">
        <f t="shared" si="3"/>
        <v>0</v>
      </c>
    </row>
    <row r="211" spans="1:14" hidden="1">
      <c r="A211" s="15"/>
      <c r="B211" s="17"/>
      <c r="C211" s="18"/>
      <c r="D211" s="18"/>
      <c r="E211" s="17"/>
      <c r="F211" s="36"/>
      <c r="G211" s="17"/>
      <c r="K211" s="69"/>
      <c r="L211" s="82"/>
      <c r="M211" s="66"/>
      <c r="N211" s="67">
        <f t="shared" si="3"/>
        <v>0</v>
      </c>
    </row>
    <row r="212" spans="1:14">
      <c r="A212" s="12"/>
      <c r="B212" s="13" t="s">
        <v>64</v>
      </c>
      <c r="C212" s="13"/>
      <c r="D212" s="13"/>
      <c r="E212" s="13"/>
      <c r="F212" s="13"/>
      <c r="G212" s="15"/>
      <c r="H212" s="64">
        <f>G213+G214+G215</f>
        <v>26319.499999999945</v>
      </c>
      <c r="K212" s="69" t="s">
        <v>113</v>
      </c>
      <c r="L212" s="82">
        <v>3.01</v>
      </c>
      <c r="M212" s="66">
        <v>26319.499999999945</v>
      </c>
      <c r="N212" s="67">
        <f t="shared" si="3"/>
        <v>849.01612903225634</v>
      </c>
    </row>
    <row r="213" spans="1:14" hidden="1">
      <c r="A213" s="16">
        <v>42024</v>
      </c>
      <c r="B213" s="17">
        <v>497184</v>
      </c>
      <c r="C213" s="18">
        <v>97441</v>
      </c>
      <c r="D213" s="18">
        <v>98302</v>
      </c>
      <c r="E213" s="17">
        <f>D213-C213</f>
        <v>861</v>
      </c>
      <c r="F213" s="36">
        <v>1</v>
      </c>
      <c r="G213" s="17">
        <f>E213*F213</f>
        <v>861</v>
      </c>
      <c r="K213" s="69">
        <v>497184</v>
      </c>
      <c r="L213" s="82"/>
      <c r="M213" s="66"/>
      <c r="N213" s="67">
        <f t="shared" si="3"/>
        <v>0</v>
      </c>
    </row>
    <row r="214" spans="1:14" hidden="1">
      <c r="A214" s="16">
        <v>42024</v>
      </c>
      <c r="B214" s="17">
        <v>537546</v>
      </c>
      <c r="C214" s="18">
        <v>55001.5</v>
      </c>
      <c r="D214" s="18">
        <v>55595.1</v>
      </c>
      <c r="E214" s="17">
        <f>D214-C214</f>
        <v>593.59999999999854</v>
      </c>
      <c r="F214" s="36">
        <v>40</v>
      </c>
      <c r="G214" s="17">
        <f>E214*F214</f>
        <v>23743.999999999942</v>
      </c>
      <c r="K214" s="69">
        <v>537546</v>
      </c>
      <c r="L214" s="82"/>
      <c r="M214" s="66"/>
      <c r="N214" s="67">
        <f t="shared" si="3"/>
        <v>0</v>
      </c>
    </row>
    <row r="215" spans="1:14" hidden="1">
      <c r="A215" s="16">
        <v>42024</v>
      </c>
      <c r="B215" s="17">
        <v>686220</v>
      </c>
      <c r="C215" s="18">
        <v>5255.8</v>
      </c>
      <c r="D215" s="18">
        <v>5370.1</v>
      </c>
      <c r="E215" s="17">
        <f>D215-C215</f>
        <v>114.30000000000018</v>
      </c>
      <c r="F215" s="36">
        <v>15</v>
      </c>
      <c r="G215" s="17">
        <f>E215*F215</f>
        <v>1714.5000000000027</v>
      </c>
      <c r="K215" s="69">
        <v>686220</v>
      </c>
      <c r="L215" s="82"/>
      <c r="M215" s="66"/>
      <c r="N215" s="67">
        <f t="shared" si="3"/>
        <v>0</v>
      </c>
    </row>
    <row r="216" spans="1:14" hidden="1">
      <c r="A216" s="17"/>
      <c r="B216" s="17"/>
      <c r="C216" s="18"/>
      <c r="D216" s="18"/>
      <c r="E216" s="17"/>
      <c r="F216" s="36"/>
      <c r="G216" s="17"/>
      <c r="K216" s="69"/>
      <c r="L216" s="82"/>
      <c r="M216" s="66"/>
      <c r="N216" s="67">
        <f t="shared" si="3"/>
        <v>0</v>
      </c>
    </row>
    <row r="217" spans="1:14" ht="14.25" customHeight="1">
      <c r="A217" s="36"/>
      <c r="B217" s="51" t="s">
        <v>65</v>
      </c>
      <c r="C217" s="52"/>
      <c r="D217" s="52"/>
      <c r="E217" s="53"/>
      <c r="G217" s="15"/>
      <c r="H217" s="64">
        <f>G219</f>
        <v>32112.000000000044</v>
      </c>
      <c r="K217" s="71" t="s">
        <v>65</v>
      </c>
      <c r="L217" s="84">
        <v>2.1</v>
      </c>
      <c r="M217" s="66">
        <v>32112.000000000044</v>
      </c>
      <c r="N217" s="67">
        <f t="shared" si="3"/>
        <v>1035.870967741937</v>
      </c>
    </row>
    <row r="218" spans="1:14" hidden="1">
      <c r="A218" s="17"/>
      <c r="B218" s="17"/>
      <c r="C218" s="18"/>
      <c r="D218" s="18"/>
      <c r="E218" s="17"/>
      <c r="F218" s="36"/>
      <c r="G218" s="17"/>
      <c r="K218" s="69"/>
      <c r="L218" s="82"/>
      <c r="M218" s="66"/>
      <c r="N218" s="67">
        <f t="shared" si="3"/>
        <v>0</v>
      </c>
    </row>
    <row r="219" spans="1:14" hidden="1">
      <c r="A219" s="16">
        <v>42024</v>
      </c>
      <c r="B219" s="54">
        <v>711170308155043</v>
      </c>
      <c r="C219" s="46">
        <v>20861.7</v>
      </c>
      <c r="D219" s="46">
        <v>21396.9</v>
      </c>
      <c r="E219" s="27">
        <f>D219-C219</f>
        <v>535.20000000000073</v>
      </c>
      <c r="F219" s="55">
        <v>60</v>
      </c>
      <c r="G219" s="27">
        <f>E219*F219</f>
        <v>32112.000000000044</v>
      </c>
      <c r="K219" s="77">
        <v>711170308155043</v>
      </c>
      <c r="L219" s="90"/>
      <c r="M219" s="66"/>
      <c r="N219" s="67">
        <f t="shared" si="3"/>
        <v>0</v>
      </c>
    </row>
    <row r="220" spans="1:14" hidden="1">
      <c r="A220" s="15"/>
      <c r="B220" s="15"/>
      <c r="C220" s="15"/>
      <c r="D220" s="15"/>
      <c r="E220" s="15"/>
      <c r="F220" s="12"/>
      <c r="G220" s="15"/>
      <c r="K220" s="69"/>
      <c r="L220" s="82"/>
      <c r="M220" s="66"/>
      <c r="N220" s="67">
        <f t="shared" si="3"/>
        <v>0</v>
      </c>
    </row>
    <row r="221" spans="1:14" hidden="1">
      <c r="A221" s="2" t="s">
        <v>0</v>
      </c>
      <c r="B221" s="2" t="s">
        <v>1</v>
      </c>
      <c r="C221" s="3" t="s">
        <v>2</v>
      </c>
      <c r="D221" s="4" t="s">
        <v>3</v>
      </c>
      <c r="E221" s="3" t="s">
        <v>4</v>
      </c>
      <c r="F221" s="3" t="s">
        <v>29</v>
      </c>
      <c r="G221" s="5" t="s">
        <v>6</v>
      </c>
      <c r="K221" s="69" t="s">
        <v>1</v>
      </c>
      <c r="L221" s="82"/>
      <c r="M221" s="66"/>
      <c r="N221" s="67">
        <f t="shared" si="3"/>
        <v>0</v>
      </c>
    </row>
    <row r="222" spans="1:14" hidden="1">
      <c r="A222" s="6" t="s">
        <v>7</v>
      </c>
      <c r="B222" s="6" t="s">
        <v>8</v>
      </c>
      <c r="C222" s="7" t="s">
        <v>9</v>
      </c>
      <c r="D222" s="22" t="s">
        <v>9</v>
      </c>
      <c r="E222" s="7" t="s">
        <v>10</v>
      </c>
      <c r="F222" s="7" t="s">
        <v>11</v>
      </c>
      <c r="G222" s="8" t="s">
        <v>12</v>
      </c>
      <c r="K222" s="69" t="s">
        <v>8</v>
      </c>
      <c r="L222" s="82"/>
      <c r="M222" s="66"/>
      <c r="N222" s="67">
        <f t="shared" si="3"/>
        <v>0</v>
      </c>
    </row>
    <row r="223" spans="1:14" hidden="1">
      <c r="A223" s="9" t="s">
        <v>10</v>
      </c>
      <c r="B223" s="9" t="s">
        <v>13</v>
      </c>
      <c r="C223" s="10" t="s">
        <v>14</v>
      </c>
      <c r="D223" s="23" t="s">
        <v>14</v>
      </c>
      <c r="E223" s="10"/>
      <c r="F223" s="10" t="s">
        <v>15</v>
      </c>
      <c r="G223" s="11" t="s">
        <v>16</v>
      </c>
      <c r="K223" s="69" t="s">
        <v>13</v>
      </c>
      <c r="L223" s="82"/>
      <c r="M223" s="66"/>
      <c r="N223" s="67">
        <f t="shared" si="3"/>
        <v>0</v>
      </c>
    </row>
    <row r="224" spans="1:14">
      <c r="A224" s="12"/>
      <c r="B224" s="13" t="s">
        <v>66</v>
      </c>
      <c r="C224" s="24"/>
      <c r="D224" s="24"/>
      <c r="E224" s="13"/>
      <c r="F224" s="13"/>
      <c r="G224" s="15"/>
      <c r="H224" s="64">
        <f>G225+G227</f>
        <v>7792</v>
      </c>
      <c r="K224" s="69" t="s">
        <v>114</v>
      </c>
      <c r="L224" s="82">
        <v>3.01</v>
      </c>
      <c r="M224" s="66">
        <v>7792</v>
      </c>
      <c r="N224" s="67">
        <f t="shared" si="3"/>
        <v>251.35483870967741</v>
      </c>
    </row>
    <row r="225" spans="1:14" hidden="1">
      <c r="A225" s="16">
        <v>42024</v>
      </c>
      <c r="B225" s="33">
        <v>927305200005</v>
      </c>
      <c r="C225" s="18">
        <v>16170</v>
      </c>
      <c r="D225" s="18">
        <v>17002</v>
      </c>
      <c r="E225" s="17">
        <f>D225-C225</f>
        <v>832</v>
      </c>
      <c r="F225" s="36">
        <v>1</v>
      </c>
      <c r="G225" s="17">
        <f>E225*F225</f>
        <v>832</v>
      </c>
      <c r="K225" s="70">
        <v>927305200005</v>
      </c>
      <c r="L225" s="83"/>
      <c r="M225" s="66"/>
      <c r="N225" s="67">
        <f t="shared" si="3"/>
        <v>0</v>
      </c>
    </row>
    <row r="226" spans="1:14" hidden="1">
      <c r="A226" s="17"/>
      <c r="B226" s="33"/>
      <c r="C226" s="18"/>
      <c r="D226" s="18"/>
      <c r="E226" s="17"/>
      <c r="F226" s="36"/>
      <c r="G226" s="17"/>
      <c r="K226" s="70"/>
      <c r="L226" s="83"/>
      <c r="M226" s="66"/>
      <c r="N226" s="67">
        <f t="shared" si="3"/>
        <v>0</v>
      </c>
    </row>
    <row r="227" spans="1:14" hidden="1">
      <c r="A227" s="16">
        <v>42024</v>
      </c>
      <c r="B227" s="33">
        <v>17288</v>
      </c>
      <c r="C227" s="18">
        <v>2361</v>
      </c>
      <c r="D227" s="18">
        <v>2593</v>
      </c>
      <c r="E227" s="17">
        <f>D227-C227</f>
        <v>232</v>
      </c>
      <c r="F227" s="36">
        <v>30</v>
      </c>
      <c r="G227" s="17">
        <f>E227*F227</f>
        <v>6960</v>
      </c>
      <c r="K227" s="70">
        <v>17288</v>
      </c>
      <c r="L227" s="83"/>
      <c r="M227" s="66"/>
      <c r="N227" s="67">
        <f t="shared" si="3"/>
        <v>0</v>
      </c>
    </row>
    <row r="228" spans="1:14" hidden="1">
      <c r="A228" s="17"/>
      <c r="B228" s="17"/>
      <c r="C228" s="18"/>
      <c r="D228" s="18"/>
      <c r="E228" s="17"/>
      <c r="F228" s="36"/>
      <c r="G228" s="17"/>
      <c r="K228" s="69"/>
      <c r="L228" s="82"/>
      <c r="M228" s="66"/>
      <c r="N228" s="67">
        <f t="shared" si="3"/>
        <v>0</v>
      </c>
    </row>
    <row r="229" spans="1:14">
      <c r="A229" s="12"/>
      <c r="B229" s="13" t="s">
        <v>67</v>
      </c>
      <c r="C229" s="24"/>
      <c r="D229" s="24"/>
      <c r="E229" s="13"/>
      <c r="F229" s="13"/>
      <c r="G229" s="15"/>
      <c r="H229" s="64">
        <f>G230+G232</f>
        <v>3302</v>
      </c>
      <c r="K229" s="69" t="s">
        <v>115</v>
      </c>
      <c r="L229" s="82">
        <v>2.1</v>
      </c>
      <c r="M229" s="66">
        <v>3302</v>
      </c>
      <c r="N229" s="67">
        <f t="shared" si="3"/>
        <v>106.51612903225806</v>
      </c>
    </row>
    <row r="230" spans="1:14" hidden="1">
      <c r="A230" s="16">
        <v>42024</v>
      </c>
      <c r="B230" s="33">
        <v>927306400046</v>
      </c>
      <c r="C230" s="18">
        <v>14142</v>
      </c>
      <c r="D230" s="18">
        <v>15424</v>
      </c>
      <c r="E230" s="17">
        <f>D230-C230</f>
        <v>1282</v>
      </c>
      <c r="F230" s="17">
        <v>1</v>
      </c>
      <c r="G230" s="17">
        <f>E230*F230</f>
        <v>1282</v>
      </c>
      <c r="K230" s="70">
        <v>927306400046</v>
      </c>
      <c r="L230" s="83"/>
      <c r="M230" s="66"/>
      <c r="N230" s="67">
        <f t="shared" si="3"/>
        <v>0</v>
      </c>
    </row>
    <row r="231" spans="1:14" hidden="1">
      <c r="A231" s="15"/>
      <c r="B231" s="17"/>
      <c r="C231" s="18"/>
      <c r="D231" s="18"/>
      <c r="E231" s="17"/>
      <c r="F231" s="17"/>
      <c r="G231" s="17"/>
      <c r="K231" s="69"/>
      <c r="L231" s="82"/>
      <c r="M231" s="66"/>
      <c r="N231" s="67">
        <f t="shared" si="3"/>
        <v>0</v>
      </c>
    </row>
    <row r="232" spans="1:14" hidden="1">
      <c r="A232" s="16">
        <v>42024</v>
      </c>
      <c r="B232" s="33">
        <v>9250064000156</v>
      </c>
      <c r="C232" s="18">
        <v>1179</v>
      </c>
      <c r="D232" s="18">
        <v>1280</v>
      </c>
      <c r="E232" s="17">
        <f>D232-C232</f>
        <v>101</v>
      </c>
      <c r="F232" s="17">
        <v>20</v>
      </c>
      <c r="G232" s="17">
        <f>E232*F232</f>
        <v>2020</v>
      </c>
      <c r="K232" s="70">
        <v>9250064000156</v>
      </c>
      <c r="L232" s="83"/>
      <c r="M232" s="66"/>
      <c r="N232" s="67">
        <f t="shared" si="3"/>
        <v>0</v>
      </c>
    </row>
    <row r="233" spans="1:14" hidden="1">
      <c r="A233" s="15"/>
      <c r="B233" s="17"/>
      <c r="C233" s="18"/>
      <c r="D233" s="18"/>
      <c r="E233" s="17"/>
      <c r="F233" s="17"/>
      <c r="G233" s="17"/>
      <c r="K233" s="69"/>
      <c r="L233" s="82"/>
      <c r="M233" s="66"/>
      <c r="N233" s="67">
        <f t="shared" si="3"/>
        <v>0</v>
      </c>
    </row>
    <row r="234" spans="1:14" hidden="1">
      <c r="A234" s="16">
        <v>42024</v>
      </c>
      <c r="B234" s="48">
        <v>9273064000289</v>
      </c>
      <c r="C234" s="37">
        <v>344</v>
      </c>
      <c r="D234" s="37">
        <v>358</v>
      </c>
      <c r="E234" s="50">
        <f>D234-C234</f>
        <v>14</v>
      </c>
      <c r="F234" s="50">
        <v>1</v>
      </c>
      <c r="G234" s="50">
        <f>E234*F234</f>
        <v>14</v>
      </c>
      <c r="K234" s="76">
        <v>9273064000289</v>
      </c>
      <c r="L234" s="89"/>
      <c r="M234" s="66"/>
      <c r="N234" s="67">
        <f t="shared" si="3"/>
        <v>0</v>
      </c>
    </row>
    <row r="235" spans="1:14" hidden="1">
      <c r="A235" s="15"/>
      <c r="B235" s="48"/>
      <c r="C235" s="37"/>
      <c r="D235" s="37"/>
      <c r="E235" s="50"/>
      <c r="F235" s="50"/>
      <c r="G235" s="50"/>
      <c r="K235" s="76"/>
      <c r="L235" s="89"/>
      <c r="M235" s="66"/>
      <c r="N235" s="67">
        <f t="shared" si="3"/>
        <v>0</v>
      </c>
    </row>
    <row r="236" spans="1:14" hidden="1">
      <c r="A236" s="16">
        <v>42024</v>
      </c>
      <c r="B236" s="48">
        <v>9250064000183</v>
      </c>
      <c r="C236" s="37">
        <v>719</v>
      </c>
      <c r="D236" s="37">
        <v>752</v>
      </c>
      <c r="E236" s="50">
        <f>D236-C236</f>
        <v>33</v>
      </c>
      <c r="F236" s="50">
        <v>20</v>
      </c>
      <c r="G236" s="50">
        <f>E236*F236</f>
        <v>660</v>
      </c>
      <c r="K236" s="76">
        <v>9250064000183</v>
      </c>
      <c r="L236" s="89"/>
      <c r="M236" s="66"/>
      <c r="N236" s="67">
        <f t="shared" si="3"/>
        <v>0</v>
      </c>
    </row>
    <row r="237" spans="1:14" hidden="1">
      <c r="A237" s="15"/>
      <c r="B237" s="45"/>
      <c r="C237" s="35"/>
      <c r="D237" s="35"/>
      <c r="E237" s="45"/>
      <c r="F237" s="45"/>
      <c r="G237" s="45"/>
      <c r="K237" s="78"/>
      <c r="L237" s="91"/>
      <c r="M237" s="66"/>
      <c r="N237" s="67">
        <f t="shared" si="3"/>
        <v>0</v>
      </c>
    </row>
    <row r="238" spans="1:14">
      <c r="A238" s="15"/>
      <c r="B238" s="56" t="s">
        <v>68</v>
      </c>
      <c r="C238" s="57"/>
      <c r="D238" s="57"/>
      <c r="E238" s="56"/>
      <c r="F238" s="56"/>
      <c r="G238" s="58"/>
      <c r="H238" s="64">
        <f>G239+G241+G243</f>
        <v>11761</v>
      </c>
      <c r="K238" s="78" t="s">
        <v>116</v>
      </c>
      <c r="L238" s="91">
        <v>2.1</v>
      </c>
      <c r="M238" s="66">
        <v>11761</v>
      </c>
      <c r="N238" s="67">
        <f t="shared" si="3"/>
        <v>379.38709677419354</v>
      </c>
    </row>
    <row r="239" spans="1:14" hidden="1">
      <c r="A239" s="16">
        <v>42024</v>
      </c>
      <c r="B239" s="59">
        <v>9250054000296</v>
      </c>
      <c r="C239" s="35">
        <v>3277</v>
      </c>
      <c r="D239" s="35">
        <v>3421</v>
      </c>
      <c r="E239" s="45">
        <f>D239-C239</f>
        <v>144</v>
      </c>
      <c r="F239" s="60">
        <v>30</v>
      </c>
      <c r="G239" s="45">
        <f>E239*F239</f>
        <v>4320</v>
      </c>
      <c r="K239" s="79">
        <v>9250054000296</v>
      </c>
      <c r="L239" s="92"/>
      <c r="M239" s="66"/>
      <c r="N239" s="67">
        <f t="shared" si="3"/>
        <v>0</v>
      </c>
    </row>
    <row r="240" spans="1:14" hidden="1">
      <c r="A240" s="15"/>
      <c r="B240" s="45"/>
      <c r="C240" s="35"/>
      <c r="D240" s="35"/>
      <c r="E240" s="45"/>
      <c r="F240" s="60"/>
      <c r="G240" s="45"/>
      <c r="K240" s="78"/>
      <c r="L240" s="91"/>
      <c r="M240" s="66"/>
      <c r="N240" s="67">
        <f t="shared" si="3"/>
        <v>0</v>
      </c>
    </row>
    <row r="241" spans="1:14" hidden="1">
      <c r="A241" s="16">
        <v>42024</v>
      </c>
      <c r="B241" s="59">
        <v>9250051000722</v>
      </c>
      <c r="C241" s="35">
        <v>3193</v>
      </c>
      <c r="D241" s="35">
        <v>3363</v>
      </c>
      <c r="E241" s="45">
        <f>D241-C241</f>
        <v>170</v>
      </c>
      <c r="F241" s="60">
        <v>30</v>
      </c>
      <c r="G241" s="45">
        <f>E241*F241</f>
        <v>5100</v>
      </c>
      <c r="K241" s="79">
        <v>9250051000722</v>
      </c>
      <c r="L241" s="92"/>
      <c r="M241" s="66"/>
      <c r="N241" s="67">
        <f t="shared" si="3"/>
        <v>0</v>
      </c>
    </row>
    <row r="242" spans="1:14" hidden="1">
      <c r="A242" s="15"/>
      <c r="B242" s="45"/>
      <c r="C242" s="35"/>
      <c r="D242" s="35"/>
      <c r="E242" s="45"/>
      <c r="F242" s="60"/>
      <c r="G242" s="45"/>
      <c r="K242" s="78"/>
      <c r="L242" s="91"/>
      <c r="M242" s="66"/>
      <c r="N242" s="67">
        <f t="shared" si="3"/>
        <v>0</v>
      </c>
    </row>
    <row r="243" spans="1:14" hidden="1">
      <c r="A243" s="16">
        <v>42024</v>
      </c>
      <c r="B243" s="59">
        <v>9273055000061</v>
      </c>
      <c r="C243" s="35">
        <v>46738</v>
      </c>
      <c r="D243" s="35">
        <v>49079</v>
      </c>
      <c r="E243" s="45">
        <f>D243-C243</f>
        <v>2341</v>
      </c>
      <c r="F243" s="60">
        <v>1</v>
      </c>
      <c r="G243" s="45">
        <f>E243*F243</f>
        <v>2341</v>
      </c>
      <c r="K243" s="79">
        <v>9273055000061</v>
      </c>
      <c r="L243" s="92"/>
      <c r="M243" s="66"/>
      <c r="N243" s="67">
        <f t="shared" si="3"/>
        <v>0</v>
      </c>
    </row>
    <row r="244" spans="1:14" hidden="1">
      <c r="A244" s="17"/>
      <c r="B244" s="59"/>
      <c r="C244" s="35"/>
      <c r="D244" s="35"/>
      <c r="E244" s="45"/>
      <c r="F244" s="60"/>
      <c r="G244" s="45"/>
      <c r="K244" s="79"/>
      <c r="L244" s="92"/>
      <c r="M244" s="66"/>
      <c r="N244" s="67">
        <f t="shared" si="3"/>
        <v>0</v>
      </c>
    </row>
    <row r="245" spans="1:14" hidden="1">
      <c r="A245" s="16">
        <v>42026</v>
      </c>
      <c r="B245" s="48">
        <v>9131065000561</v>
      </c>
      <c r="C245" s="37">
        <v>18391</v>
      </c>
      <c r="D245" s="37">
        <v>19366</v>
      </c>
      <c r="E245" s="50">
        <f>D245-C245</f>
        <v>975</v>
      </c>
      <c r="F245" s="61">
        <v>1</v>
      </c>
      <c r="G245" s="50">
        <f>E245*F245</f>
        <v>975</v>
      </c>
      <c r="K245" s="76">
        <v>9131065000561</v>
      </c>
      <c r="L245" s="89"/>
      <c r="M245" s="66"/>
      <c r="N245" s="67">
        <f t="shared" si="3"/>
        <v>0</v>
      </c>
    </row>
    <row r="246" spans="1:14">
      <c r="A246" s="17"/>
      <c r="B246" s="13" t="s">
        <v>69</v>
      </c>
      <c r="C246" s="24"/>
      <c r="D246" s="24"/>
      <c r="E246" s="13"/>
      <c r="F246" s="13"/>
      <c r="G246" s="15"/>
      <c r="H246" s="64">
        <f>G247+G249+G251</f>
        <v>17875</v>
      </c>
      <c r="K246" s="69" t="s">
        <v>117</v>
      </c>
      <c r="L246" s="82">
        <v>2.1</v>
      </c>
      <c r="M246" s="66">
        <v>17875</v>
      </c>
      <c r="N246" s="67">
        <f t="shared" si="3"/>
        <v>576.61290322580646</v>
      </c>
    </row>
    <row r="247" spans="1:14" hidden="1">
      <c r="A247" s="16">
        <v>42024</v>
      </c>
      <c r="B247" s="33">
        <v>8840053000480</v>
      </c>
      <c r="C247" s="18">
        <v>1741</v>
      </c>
      <c r="D247" s="18">
        <v>1901</v>
      </c>
      <c r="E247" s="17">
        <f>D247-C247</f>
        <v>160</v>
      </c>
      <c r="F247" s="36">
        <v>40</v>
      </c>
      <c r="G247" s="17">
        <f>E247*F247</f>
        <v>6400</v>
      </c>
      <c r="J247" s="1" t="s">
        <v>70</v>
      </c>
      <c r="K247" s="70">
        <v>8840053000480</v>
      </c>
      <c r="L247" s="83"/>
      <c r="M247" s="66"/>
      <c r="N247" s="67">
        <f t="shared" si="3"/>
        <v>0</v>
      </c>
    </row>
    <row r="248" spans="1:14" hidden="1">
      <c r="A248" s="15"/>
      <c r="B248" s="33"/>
      <c r="C248" s="18"/>
      <c r="D248" s="18"/>
      <c r="E248" s="17"/>
      <c r="F248" s="36"/>
      <c r="G248" s="17"/>
      <c r="K248" s="70"/>
      <c r="L248" s="83"/>
      <c r="M248" s="66"/>
      <c r="N248" s="67">
        <f t="shared" si="3"/>
        <v>0</v>
      </c>
    </row>
    <row r="249" spans="1:14" hidden="1">
      <c r="A249" s="16">
        <v>42024</v>
      </c>
      <c r="B249" s="33">
        <v>8840053000239</v>
      </c>
      <c r="C249" s="18">
        <v>3493</v>
      </c>
      <c r="D249" s="18">
        <v>3721</v>
      </c>
      <c r="E249" s="17">
        <f>D249-C249</f>
        <v>228</v>
      </c>
      <c r="F249" s="36">
        <v>40</v>
      </c>
      <c r="G249" s="17">
        <f>E249*F249</f>
        <v>9120</v>
      </c>
      <c r="K249" s="70">
        <v>8840053000239</v>
      </c>
      <c r="L249" s="83"/>
      <c r="M249" s="66"/>
      <c r="N249" s="67">
        <f t="shared" si="3"/>
        <v>0</v>
      </c>
    </row>
    <row r="250" spans="1:14" hidden="1">
      <c r="A250" s="12"/>
      <c r="B250" s="33"/>
      <c r="C250" s="18"/>
      <c r="D250" s="18"/>
      <c r="E250" s="17"/>
      <c r="F250" s="36"/>
      <c r="G250" s="17"/>
      <c r="K250" s="70"/>
      <c r="L250" s="83"/>
      <c r="M250" s="66"/>
      <c r="N250" s="67">
        <f t="shared" si="3"/>
        <v>0</v>
      </c>
    </row>
    <row r="251" spans="1:14" hidden="1">
      <c r="A251" s="16">
        <v>42024</v>
      </c>
      <c r="B251" s="33">
        <v>8840059005088</v>
      </c>
      <c r="C251" s="18">
        <v>2555</v>
      </c>
      <c r="D251" s="18">
        <v>2712</v>
      </c>
      <c r="E251" s="17">
        <f>D251-C251</f>
        <v>157</v>
      </c>
      <c r="F251" s="36">
        <v>15</v>
      </c>
      <c r="G251" s="17">
        <f>E251*F251</f>
        <v>2355</v>
      </c>
      <c r="J251" t="s">
        <v>70</v>
      </c>
      <c r="K251" s="70">
        <v>8840059005088</v>
      </c>
      <c r="L251" s="83"/>
      <c r="M251" s="66"/>
      <c r="N251" s="67">
        <f t="shared" si="3"/>
        <v>0</v>
      </c>
    </row>
    <row r="252" spans="1:14" hidden="1">
      <c r="A252" s="15"/>
      <c r="B252" s="15"/>
      <c r="C252" s="15"/>
      <c r="D252" s="15"/>
      <c r="E252" s="15"/>
      <c r="F252" s="12"/>
      <c r="G252" s="15"/>
      <c r="K252" s="69"/>
      <c r="L252" s="82"/>
      <c r="M252" s="66"/>
      <c r="N252" s="67">
        <f t="shared" si="3"/>
        <v>0</v>
      </c>
    </row>
    <row r="253" spans="1:14" hidden="1">
      <c r="A253" s="2" t="s">
        <v>0</v>
      </c>
      <c r="B253" s="2" t="s">
        <v>1</v>
      </c>
      <c r="C253" s="3" t="s">
        <v>2</v>
      </c>
      <c r="D253" s="4" t="s">
        <v>3</v>
      </c>
      <c r="E253" s="3" t="s">
        <v>71</v>
      </c>
      <c r="F253" s="3" t="s">
        <v>29</v>
      </c>
      <c r="G253" s="5" t="s">
        <v>6</v>
      </c>
      <c r="K253" s="69" t="s">
        <v>1</v>
      </c>
      <c r="L253" s="82"/>
      <c r="M253" s="66"/>
      <c r="N253" s="67">
        <f t="shared" si="3"/>
        <v>0</v>
      </c>
    </row>
    <row r="254" spans="1:14" hidden="1">
      <c r="A254" s="6" t="s">
        <v>7</v>
      </c>
      <c r="B254" s="6" t="s">
        <v>8</v>
      </c>
      <c r="C254" s="7" t="s">
        <v>9</v>
      </c>
      <c r="D254" s="22" t="s">
        <v>9</v>
      </c>
      <c r="E254" s="7" t="s">
        <v>10</v>
      </c>
      <c r="F254" s="7" t="s">
        <v>11</v>
      </c>
      <c r="G254" s="8" t="s">
        <v>12</v>
      </c>
      <c r="K254" s="69" t="s">
        <v>8</v>
      </c>
      <c r="L254" s="82"/>
      <c r="M254" s="66"/>
      <c r="N254" s="67">
        <f t="shared" si="3"/>
        <v>0</v>
      </c>
    </row>
    <row r="255" spans="1:14" hidden="1">
      <c r="A255" s="9" t="s">
        <v>10</v>
      </c>
      <c r="B255" s="9" t="s">
        <v>13</v>
      </c>
      <c r="C255" s="10" t="s">
        <v>14</v>
      </c>
      <c r="D255" s="23" t="s">
        <v>14</v>
      </c>
      <c r="E255" s="10"/>
      <c r="F255" s="10" t="s">
        <v>15</v>
      </c>
      <c r="G255" s="11" t="s">
        <v>16</v>
      </c>
      <c r="K255" s="69" t="s">
        <v>13</v>
      </c>
      <c r="L255" s="82"/>
      <c r="M255" s="66"/>
      <c r="N255" s="67">
        <f t="shared" si="3"/>
        <v>0</v>
      </c>
    </row>
    <row r="256" spans="1:14">
      <c r="A256" s="12"/>
      <c r="B256" s="25" t="s">
        <v>72</v>
      </c>
      <c r="C256" s="13"/>
      <c r="D256" s="24"/>
      <c r="E256" s="13"/>
      <c r="F256" s="13"/>
      <c r="G256" s="15"/>
      <c r="H256" s="64">
        <f>G258+G260</f>
        <v>39800</v>
      </c>
      <c r="K256" s="71" t="s">
        <v>72</v>
      </c>
      <c r="L256" s="84">
        <v>3.01</v>
      </c>
      <c r="M256" s="66">
        <v>39800</v>
      </c>
      <c r="N256" s="67">
        <f t="shared" si="3"/>
        <v>1283.8709677419354</v>
      </c>
    </row>
    <row r="257" spans="1:14" hidden="1">
      <c r="A257" s="17"/>
      <c r="B257" s="33"/>
      <c r="C257" s="18"/>
      <c r="D257" s="18"/>
      <c r="E257" s="17"/>
      <c r="F257" s="36"/>
      <c r="G257" s="17"/>
      <c r="K257" s="70"/>
      <c r="L257" s="83"/>
      <c r="M257" s="66"/>
      <c r="N257" s="67">
        <f t="shared" si="3"/>
        <v>0</v>
      </c>
    </row>
    <row r="258" spans="1:14" hidden="1">
      <c r="A258" s="16">
        <v>42024</v>
      </c>
      <c r="B258" s="17">
        <v>16537</v>
      </c>
      <c r="C258" s="18">
        <v>1012</v>
      </c>
      <c r="D258" s="18">
        <v>1400</v>
      </c>
      <c r="E258" s="17">
        <f>D258-C258</f>
        <v>388</v>
      </c>
      <c r="F258" s="36">
        <v>40</v>
      </c>
      <c r="G258" s="17">
        <f>E258*F258</f>
        <v>15520</v>
      </c>
      <c r="K258" s="69">
        <v>16537</v>
      </c>
      <c r="L258" s="82"/>
      <c r="M258" s="66"/>
      <c r="N258" s="67">
        <f t="shared" si="3"/>
        <v>0</v>
      </c>
    </row>
    <row r="259" spans="1:14" hidden="1">
      <c r="A259" s="15"/>
      <c r="B259" s="33"/>
      <c r="C259" s="18"/>
      <c r="D259" s="18"/>
      <c r="E259" s="17"/>
      <c r="F259" s="17"/>
      <c r="G259" s="17"/>
      <c r="K259" s="70"/>
      <c r="L259" s="83"/>
      <c r="M259" s="66"/>
      <c r="N259" s="67">
        <f t="shared" si="3"/>
        <v>0</v>
      </c>
    </row>
    <row r="260" spans="1:14" hidden="1">
      <c r="A260" s="16">
        <v>42024</v>
      </c>
      <c r="B260" s="33">
        <v>16613</v>
      </c>
      <c r="C260" s="18">
        <v>1260</v>
      </c>
      <c r="D260" s="18">
        <v>1867</v>
      </c>
      <c r="E260" s="17">
        <f>D260-C260</f>
        <v>607</v>
      </c>
      <c r="F260" s="36">
        <v>40</v>
      </c>
      <c r="G260" s="17">
        <f>E260*F260</f>
        <v>24280</v>
      </c>
      <c r="K260" s="70">
        <v>16613</v>
      </c>
      <c r="L260" s="83"/>
      <c r="M260" s="66"/>
      <c r="N260" s="67">
        <f t="shared" si="3"/>
        <v>0</v>
      </c>
    </row>
    <row r="261" spans="1:14" hidden="1">
      <c r="A261" s="15"/>
      <c r="B261" s="33"/>
      <c r="C261" s="18"/>
      <c r="D261" s="18"/>
      <c r="E261" s="17"/>
      <c r="F261" s="36"/>
      <c r="G261" s="17"/>
      <c r="K261" s="70"/>
      <c r="L261" s="83"/>
      <c r="M261" s="66"/>
      <c r="N261" s="67">
        <f t="shared" si="3"/>
        <v>0</v>
      </c>
    </row>
    <row r="262" spans="1:14" hidden="1">
      <c r="A262" s="2" t="s">
        <v>0</v>
      </c>
      <c r="B262" s="2" t="s">
        <v>1</v>
      </c>
      <c r="C262" s="3" t="s">
        <v>2</v>
      </c>
      <c r="D262" s="4" t="s">
        <v>3</v>
      </c>
      <c r="E262" s="3" t="s">
        <v>4</v>
      </c>
      <c r="F262" s="3" t="s">
        <v>29</v>
      </c>
      <c r="G262" s="5" t="s">
        <v>6</v>
      </c>
      <c r="K262" s="69" t="s">
        <v>1</v>
      </c>
      <c r="L262" s="82"/>
      <c r="M262" s="66"/>
      <c r="N262" s="67">
        <f t="shared" si="3"/>
        <v>0</v>
      </c>
    </row>
    <row r="263" spans="1:14" hidden="1">
      <c r="A263" s="6" t="s">
        <v>7</v>
      </c>
      <c r="B263" s="6" t="s">
        <v>8</v>
      </c>
      <c r="C263" s="7" t="s">
        <v>9</v>
      </c>
      <c r="D263" s="22" t="s">
        <v>9</v>
      </c>
      <c r="E263" s="7" t="s">
        <v>10</v>
      </c>
      <c r="F263" s="7" t="s">
        <v>11</v>
      </c>
      <c r="G263" s="8" t="s">
        <v>12</v>
      </c>
      <c r="K263" s="69" t="s">
        <v>8</v>
      </c>
      <c r="L263" s="82"/>
      <c r="M263" s="66"/>
      <c r="N263" s="67">
        <f t="shared" si="3"/>
        <v>0</v>
      </c>
    </row>
    <row r="264" spans="1:14" hidden="1">
      <c r="A264" s="9" t="s">
        <v>10</v>
      </c>
      <c r="B264" s="9" t="s">
        <v>13</v>
      </c>
      <c r="C264" s="10" t="s">
        <v>14</v>
      </c>
      <c r="D264" s="23" t="s">
        <v>14</v>
      </c>
      <c r="E264" s="10"/>
      <c r="F264" s="10" t="s">
        <v>15</v>
      </c>
      <c r="G264" s="11" t="s">
        <v>16</v>
      </c>
      <c r="K264" s="69" t="s">
        <v>13</v>
      </c>
      <c r="L264" s="82"/>
      <c r="M264" s="66"/>
      <c r="N264" s="67">
        <f t="shared" ref="N264:N272" si="4">M264/31</f>
        <v>0</v>
      </c>
    </row>
    <row r="265" spans="1:14" ht="14.25" customHeight="1">
      <c r="A265" s="12"/>
      <c r="B265" s="25" t="s">
        <v>73</v>
      </c>
      <c r="C265" s="13"/>
      <c r="D265" s="13"/>
      <c r="E265" s="13"/>
      <c r="F265" s="13"/>
      <c r="G265" s="15"/>
      <c r="H265" s="64">
        <f>G266+G267</f>
        <v>2001</v>
      </c>
      <c r="K265" s="71" t="s">
        <v>73</v>
      </c>
      <c r="L265" s="84">
        <v>2.1</v>
      </c>
      <c r="M265" s="66">
        <v>2001</v>
      </c>
      <c r="N265" s="67">
        <f t="shared" si="4"/>
        <v>64.548387096774192</v>
      </c>
    </row>
    <row r="266" spans="1:14" hidden="1">
      <c r="A266" s="16">
        <v>42024</v>
      </c>
      <c r="B266" s="62">
        <v>9273067000173</v>
      </c>
      <c r="C266" s="18">
        <v>4587</v>
      </c>
      <c r="D266" s="18">
        <v>5255</v>
      </c>
      <c r="E266" s="17">
        <f>D266-C266</f>
        <v>668</v>
      </c>
      <c r="F266" s="36">
        <v>1</v>
      </c>
      <c r="G266" s="17">
        <f>E266*F266</f>
        <v>668</v>
      </c>
      <c r="K266" s="80">
        <v>9273067000173</v>
      </c>
      <c r="L266" s="93"/>
      <c r="M266" s="66"/>
      <c r="N266" s="67">
        <f t="shared" si="4"/>
        <v>0</v>
      </c>
    </row>
    <row r="267" spans="1:14" hidden="1">
      <c r="A267" s="16">
        <v>42024</v>
      </c>
      <c r="B267" s="62">
        <v>9273067000249</v>
      </c>
      <c r="C267" s="18">
        <v>9875</v>
      </c>
      <c r="D267" s="18">
        <v>11208</v>
      </c>
      <c r="E267" s="17">
        <f>D267-C267</f>
        <v>1333</v>
      </c>
      <c r="F267" s="36">
        <v>1</v>
      </c>
      <c r="G267" s="17">
        <f>E267*F267</f>
        <v>1333</v>
      </c>
      <c r="K267" s="80">
        <v>9273067000249</v>
      </c>
      <c r="L267" s="93"/>
      <c r="M267" s="66"/>
      <c r="N267" s="67">
        <f t="shared" si="4"/>
        <v>0</v>
      </c>
    </row>
    <row r="268" spans="1:14" hidden="1">
      <c r="A268" s="16">
        <v>42024</v>
      </c>
      <c r="B268" s="62">
        <v>9273067000180</v>
      </c>
      <c r="C268" s="18">
        <v>209</v>
      </c>
      <c r="D268" s="18">
        <v>209</v>
      </c>
      <c r="E268" s="17">
        <f>D268-C268</f>
        <v>0</v>
      </c>
      <c r="F268" s="36"/>
      <c r="G268" s="17">
        <f>E268*F268</f>
        <v>0</v>
      </c>
      <c r="K268" s="80">
        <v>9273067000180</v>
      </c>
      <c r="L268" s="93"/>
      <c r="M268" s="66"/>
      <c r="N268" s="67">
        <f t="shared" si="4"/>
        <v>0</v>
      </c>
    </row>
    <row r="269" spans="1:14" hidden="1">
      <c r="A269" s="2" t="s">
        <v>0</v>
      </c>
      <c r="B269" s="2" t="s">
        <v>1</v>
      </c>
      <c r="C269" s="3" t="s">
        <v>2</v>
      </c>
      <c r="D269" s="4" t="s">
        <v>3</v>
      </c>
      <c r="E269" s="3" t="s">
        <v>4</v>
      </c>
      <c r="F269" s="3" t="s">
        <v>29</v>
      </c>
      <c r="G269" s="5" t="s">
        <v>6</v>
      </c>
      <c r="K269" s="69" t="s">
        <v>1</v>
      </c>
      <c r="L269" s="82"/>
      <c r="M269" s="66"/>
      <c r="N269" s="67">
        <f t="shared" si="4"/>
        <v>0</v>
      </c>
    </row>
    <row r="270" spans="1:14" hidden="1">
      <c r="A270" s="6" t="s">
        <v>7</v>
      </c>
      <c r="B270" s="6" t="s">
        <v>8</v>
      </c>
      <c r="C270" s="7" t="s">
        <v>9</v>
      </c>
      <c r="D270" s="22" t="s">
        <v>9</v>
      </c>
      <c r="E270" s="7" t="s">
        <v>10</v>
      </c>
      <c r="F270" s="7" t="s">
        <v>11</v>
      </c>
      <c r="G270" s="8" t="s">
        <v>12</v>
      </c>
      <c r="K270" s="69" t="s">
        <v>8</v>
      </c>
      <c r="L270" s="82"/>
      <c r="M270" s="66"/>
      <c r="N270" s="67">
        <f t="shared" si="4"/>
        <v>0</v>
      </c>
    </row>
    <row r="271" spans="1:14" hidden="1">
      <c r="A271" s="9" t="s">
        <v>10</v>
      </c>
      <c r="B271" s="9" t="s">
        <v>13</v>
      </c>
      <c r="C271" s="10" t="s">
        <v>14</v>
      </c>
      <c r="D271" s="23" t="s">
        <v>14</v>
      </c>
      <c r="E271" s="10"/>
      <c r="F271" s="10" t="s">
        <v>15</v>
      </c>
      <c r="G271" s="11" t="s">
        <v>16</v>
      </c>
      <c r="K271" s="69" t="s">
        <v>13</v>
      </c>
      <c r="L271" s="82"/>
      <c r="M271" s="66"/>
      <c r="N271" s="67">
        <f t="shared" si="4"/>
        <v>0</v>
      </c>
    </row>
    <row r="272" spans="1:14">
      <c r="A272" s="12"/>
      <c r="B272" s="25" t="s">
        <v>74</v>
      </c>
      <c r="C272" s="13"/>
      <c r="D272" s="13"/>
      <c r="E272" s="13"/>
      <c r="F272" s="13"/>
      <c r="G272" s="15"/>
      <c r="H272" s="64">
        <f>G273+G274</f>
        <v>6684</v>
      </c>
      <c r="K272" s="71" t="s">
        <v>74</v>
      </c>
      <c r="L272" s="84">
        <v>3.01</v>
      </c>
      <c r="M272" s="66">
        <v>6684</v>
      </c>
      <c r="N272" s="67">
        <f t="shared" si="4"/>
        <v>215.61290322580646</v>
      </c>
    </row>
    <row r="273" spans="1:13" hidden="1">
      <c r="A273" s="16">
        <v>42024</v>
      </c>
      <c r="B273" s="62">
        <v>592</v>
      </c>
      <c r="C273" s="18">
        <v>3136</v>
      </c>
      <c r="D273" s="18">
        <v>3291</v>
      </c>
      <c r="E273" s="17">
        <f>D273-C273</f>
        <v>155</v>
      </c>
      <c r="F273" s="36">
        <v>40</v>
      </c>
      <c r="G273" s="17">
        <f>E273*F273</f>
        <v>6200</v>
      </c>
    </row>
    <row r="274" spans="1:13" hidden="1">
      <c r="A274" s="16">
        <v>42024</v>
      </c>
      <c r="B274" s="62">
        <v>15522</v>
      </c>
      <c r="C274" s="18">
        <v>280560</v>
      </c>
      <c r="D274" s="18">
        <v>281044</v>
      </c>
      <c r="E274" s="17">
        <f>D274-C274</f>
        <v>484</v>
      </c>
      <c r="F274" s="36">
        <v>1</v>
      </c>
      <c r="G274" s="17">
        <f>E274*F274</f>
        <v>484</v>
      </c>
    </row>
    <row r="275" spans="1:13">
      <c r="A275" s="38"/>
      <c r="B275" s="38"/>
      <c r="C275" s="38"/>
      <c r="D275" s="38"/>
      <c r="E275" s="38"/>
      <c r="F275" s="38"/>
      <c r="G275" s="38"/>
    </row>
    <row r="276" spans="1:13">
      <c r="A276" s="38"/>
      <c r="B276" s="38"/>
      <c r="C276" s="38"/>
      <c r="D276" s="38"/>
      <c r="E276" s="38"/>
      <c r="F276" s="38"/>
      <c r="G276" s="38"/>
      <c r="K276" s="68" t="s">
        <v>123</v>
      </c>
      <c r="M276" t="s">
        <v>124</v>
      </c>
    </row>
    <row r="277" spans="1:13">
      <c r="A277" s="38"/>
      <c r="B277" s="38"/>
      <c r="C277" s="38"/>
      <c r="D277" s="38"/>
      <c r="E277" s="38"/>
      <c r="F277" s="38"/>
      <c r="G277" s="38"/>
    </row>
    <row r="278" spans="1:13">
      <c r="A278" s="38"/>
      <c r="B278" s="38"/>
      <c r="C278" s="38"/>
      <c r="D278" s="38"/>
      <c r="E278" s="38"/>
      <c r="F278" s="38"/>
      <c r="G278" s="38"/>
    </row>
    <row r="279" spans="1:13">
      <c r="A279" s="38"/>
      <c r="B279" s="38"/>
      <c r="C279" s="38"/>
      <c r="D279" s="38"/>
      <c r="E279" s="38"/>
      <c r="F279" s="38"/>
      <c r="G279" s="38"/>
    </row>
    <row r="280" spans="1:13">
      <c r="A280" s="38"/>
      <c r="B280" s="38"/>
      <c r="C280" s="38"/>
      <c r="D280" s="38"/>
      <c r="E280" s="38"/>
      <c r="F280" s="38"/>
      <c r="G280" s="38"/>
    </row>
  </sheetData>
  <mergeCells count="5">
    <mergeCell ref="M3:M6"/>
    <mergeCell ref="K3:K6"/>
    <mergeCell ref="L3:L6"/>
    <mergeCell ref="N3:N6"/>
    <mergeCell ref="K1:N2"/>
  </mergeCells>
  <pageMargins left="1.6929133858267718" right="0.70866141732283472" top="0.15748031496062992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9"/>
  <sheetViews>
    <sheetView tabSelected="1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4" sqref="A4:S6"/>
    </sheetView>
  </sheetViews>
  <sheetFormatPr defaultRowHeight="15"/>
  <cols>
    <col min="1" max="1" width="3.85546875" customWidth="1"/>
    <col min="2" max="2" width="18.7109375" customWidth="1"/>
    <col min="3" max="3" width="13.85546875" customWidth="1"/>
    <col min="4" max="4" width="14.7109375" customWidth="1"/>
    <col min="5" max="5" width="18.7109375" customWidth="1"/>
    <col min="6" max="6" width="17.140625" customWidth="1"/>
    <col min="7" max="7" width="15.140625" customWidth="1"/>
    <col min="8" max="8" width="16" customWidth="1"/>
    <col min="9" max="9" width="15.7109375" customWidth="1"/>
    <col min="10" max="10" width="18.7109375" customWidth="1"/>
    <col min="11" max="11" width="14" customWidth="1"/>
    <col min="12" max="12" width="17.42578125" customWidth="1"/>
    <col min="13" max="13" width="14.140625" customWidth="1"/>
    <col min="14" max="14" width="10.7109375" customWidth="1"/>
    <col min="15" max="15" width="12" customWidth="1"/>
    <col min="18" max="18" width="10.28515625" customWidth="1"/>
    <col min="19" max="19" width="33.5703125" customWidth="1"/>
  </cols>
  <sheetData>
    <row r="1" spans="1:19">
      <c r="A1" s="126" t="s">
        <v>193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9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19" ht="12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9" ht="14.1" customHeight="1">
      <c r="A4" s="134" t="s">
        <v>189</v>
      </c>
      <c r="B4" s="134" t="s">
        <v>188</v>
      </c>
      <c r="C4" s="134" t="s">
        <v>171</v>
      </c>
      <c r="D4" s="134" t="s">
        <v>172</v>
      </c>
      <c r="E4" s="134" t="s">
        <v>173</v>
      </c>
      <c r="F4" s="134" t="s">
        <v>174</v>
      </c>
      <c r="G4" s="134" t="s">
        <v>175</v>
      </c>
      <c r="H4" s="134" t="s">
        <v>176</v>
      </c>
      <c r="I4" s="134" t="s">
        <v>177</v>
      </c>
      <c r="J4" s="134" t="s">
        <v>178</v>
      </c>
      <c r="K4" s="134" t="s">
        <v>179</v>
      </c>
      <c r="L4" s="134" t="s">
        <v>180</v>
      </c>
      <c r="M4" s="134" t="s">
        <v>181</v>
      </c>
      <c r="N4" s="134" t="s">
        <v>182</v>
      </c>
      <c r="O4" s="135" t="s">
        <v>192</v>
      </c>
      <c r="P4" s="134" t="s">
        <v>186</v>
      </c>
      <c r="Q4" s="135" t="s">
        <v>187</v>
      </c>
      <c r="R4" s="136" t="s">
        <v>190</v>
      </c>
      <c r="S4" s="137" t="s">
        <v>194</v>
      </c>
    </row>
    <row r="5" spans="1:19" ht="15.7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  <c r="P5" s="138"/>
      <c r="Q5" s="139"/>
      <c r="R5" s="140"/>
      <c r="S5" s="137"/>
    </row>
    <row r="6" spans="1:19" ht="20.25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  <c r="P6" s="141"/>
      <c r="Q6" s="142"/>
      <c r="R6" s="143"/>
      <c r="S6" s="137"/>
    </row>
    <row r="7" spans="1:19" ht="14.1" customHeight="1">
      <c r="A7" s="96">
        <v>1</v>
      </c>
      <c r="B7" s="97" t="s">
        <v>125</v>
      </c>
      <c r="C7" s="67">
        <f>2090+22960+3958</f>
        <v>29008</v>
      </c>
      <c r="D7" s="67">
        <f>2150+22840+4220</f>
        <v>29210</v>
      </c>
      <c r="E7" s="67">
        <f>1790+19480+3814</f>
        <v>25084</v>
      </c>
      <c r="F7" s="67">
        <f>1770+19520+3953</f>
        <v>25243</v>
      </c>
      <c r="G7" s="67">
        <f>1580+18400+3702</f>
        <v>23682</v>
      </c>
      <c r="H7" s="67">
        <f>1520+17640+3691</f>
        <v>22851</v>
      </c>
      <c r="I7" s="67">
        <f>1700+24200+4184</f>
        <v>30084</v>
      </c>
      <c r="J7" s="67">
        <f>1610+20040+3649</f>
        <v>25299</v>
      </c>
      <c r="K7" s="67">
        <f>1860+18520+4055</f>
        <v>24435</v>
      </c>
      <c r="L7" s="67">
        <f>2350+24040+4169</f>
        <v>30559</v>
      </c>
      <c r="M7" s="67">
        <f>2210+21800+4048</f>
        <v>28058</v>
      </c>
      <c r="N7" s="67">
        <f>2300+23240+4264</f>
        <v>29804</v>
      </c>
      <c r="O7" s="101">
        <f>C7+D7+E7+F7+G7+H7+I7+J7+K7+L7+M7+N7</f>
        <v>323317</v>
      </c>
      <c r="P7" s="67">
        <v>3.01</v>
      </c>
      <c r="Q7" s="67">
        <v>365</v>
      </c>
      <c r="R7" s="101">
        <f>O7/Q7</f>
        <v>885.8</v>
      </c>
      <c r="S7" s="15" t="s">
        <v>195</v>
      </c>
    </row>
    <row r="8" spans="1:19" ht="14.1" customHeight="1">
      <c r="A8" s="96">
        <v>2</v>
      </c>
      <c r="B8" s="94" t="s">
        <v>126</v>
      </c>
      <c r="C8" s="67">
        <f>4200+43680+4100+41640+3220</f>
        <v>96840</v>
      </c>
      <c r="D8" s="67">
        <f>3740+41400+3560+40560+2520</f>
        <v>91780</v>
      </c>
      <c r="E8" s="67">
        <f>2640+32220+3540+29100+1860</f>
        <v>69360</v>
      </c>
      <c r="F8" s="67">
        <f>2440+31800+4080+32640+1860</f>
        <v>72820</v>
      </c>
      <c r="G8" s="67">
        <f>2200+30120+3920+30180+1760</f>
        <v>68180</v>
      </c>
      <c r="H8" s="67">
        <f>1640+16320+2020+12960+380</f>
        <v>33320</v>
      </c>
      <c r="I8" s="67">
        <f>2520+28440+3620+29520+160</f>
        <v>64260</v>
      </c>
      <c r="J8" s="67">
        <f>2180+27480+3380+28080+320</f>
        <v>61440</v>
      </c>
      <c r="K8" s="67">
        <f>2440+23580+3560+23340+780</f>
        <v>53700</v>
      </c>
      <c r="L8" s="67">
        <f>2860+33120+4040+31860+1220</f>
        <v>73100</v>
      </c>
      <c r="M8" s="67">
        <f>4380+36840+3640+32940+3020</f>
        <v>80820</v>
      </c>
      <c r="N8" s="67">
        <f>2860+38640+3700+36240+2500</f>
        <v>83940</v>
      </c>
      <c r="O8" s="101">
        <f t="shared" ref="O8:O56" si="0">C8+D8+E8+F8+G8+H8+I8+J8+K8+L8+M8+N8</f>
        <v>849560</v>
      </c>
      <c r="P8" s="67">
        <v>2.1</v>
      </c>
      <c r="Q8" s="67">
        <v>365</v>
      </c>
      <c r="R8" s="101">
        <f t="shared" ref="R8:R56" si="1">O8/Q8</f>
        <v>2327.5616438356165</v>
      </c>
      <c r="S8" s="15" t="s">
        <v>195</v>
      </c>
    </row>
    <row r="9" spans="1:19" ht="14.1" customHeight="1">
      <c r="A9" s="96">
        <v>3</v>
      </c>
      <c r="B9" s="94" t="s">
        <v>127</v>
      </c>
      <c r="C9" s="67">
        <f>4402+38232</f>
        <v>42634</v>
      </c>
      <c r="D9" s="67">
        <f>4734+38748</f>
        <v>43482</v>
      </c>
      <c r="E9" s="67">
        <f>4118+31440</f>
        <v>35558</v>
      </c>
      <c r="F9" s="67">
        <f>3903+34062</f>
        <v>37965</v>
      </c>
      <c r="G9" s="67">
        <f>3061+32544</f>
        <v>35605</v>
      </c>
      <c r="H9" s="67">
        <f>2186+23808</f>
        <v>25994</v>
      </c>
      <c r="I9" s="67">
        <f>2816+26256</f>
        <v>29072</v>
      </c>
      <c r="J9" s="67">
        <f>2610+37122</f>
        <v>39732</v>
      </c>
      <c r="K9" s="67">
        <f>3719+32094</f>
        <v>35813</v>
      </c>
      <c r="L9" s="67">
        <f>4245+38640</f>
        <v>42885</v>
      </c>
      <c r="M9" s="67">
        <f>4728+36240</f>
        <v>40968</v>
      </c>
      <c r="N9" s="67">
        <f>4429+35034</f>
        <v>39463</v>
      </c>
      <c r="O9" s="101">
        <f t="shared" si="0"/>
        <v>449171</v>
      </c>
      <c r="P9" s="67">
        <v>3.01</v>
      </c>
      <c r="Q9" s="67">
        <v>365</v>
      </c>
      <c r="R9" s="101">
        <f t="shared" si="1"/>
        <v>1230.6054794520549</v>
      </c>
      <c r="S9" s="15" t="s">
        <v>195</v>
      </c>
    </row>
    <row r="10" spans="1:19" ht="14.1" customHeight="1">
      <c r="A10" s="96">
        <v>4</v>
      </c>
      <c r="B10" s="94" t="s">
        <v>128</v>
      </c>
      <c r="C10" s="67">
        <f>1874+20212</f>
        <v>22086</v>
      </c>
      <c r="D10" s="67">
        <f>1928+23968</f>
        <v>25896</v>
      </c>
      <c r="E10" s="67">
        <f>1754+17968</f>
        <v>19722</v>
      </c>
      <c r="F10" s="67">
        <f>1748+18076</f>
        <v>19824</v>
      </c>
      <c r="G10" s="67">
        <f>1396+18604</f>
        <v>20000</v>
      </c>
      <c r="H10" s="67">
        <f>945+12432</f>
        <v>13377</v>
      </c>
      <c r="I10" s="67">
        <f>1048+13876</f>
        <v>14924</v>
      </c>
      <c r="J10" s="67">
        <f>1159+18560</f>
        <v>19719</v>
      </c>
      <c r="K10" s="67">
        <f>1662+16664</f>
        <v>18326</v>
      </c>
      <c r="L10" s="67">
        <f>1732+22396</f>
        <v>24128</v>
      </c>
      <c r="M10" s="67">
        <f>1580+21076</f>
        <v>22656</v>
      </c>
      <c r="N10" s="67">
        <f>1528+21184</f>
        <v>22712</v>
      </c>
      <c r="O10" s="101">
        <f t="shared" si="0"/>
        <v>243370</v>
      </c>
      <c r="P10" s="67">
        <v>3.01</v>
      </c>
      <c r="Q10" s="67">
        <v>365</v>
      </c>
      <c r="R10" s="101">
        <f t="shared" si="1"/>
        <v>666.76712328767121</v>
      </c>
      <c r="S10" s="15" t="s">
        <v>195</v>
      </c>
    </row>
    <row r="11" spans="1:19" ht="14.1" customHeight="1">
      <c r="A11" s="96">
        <v>5</v>
      </c>
      <c r="B11" s="94" t="s">
        <v>129</v>
      </c>
      <c r="C11" s="67">
        <f>2047.5+28820+3193.5+17008</f>
        <v>51069</v>
      </c>
      <c r="D11" s="67">
        <f>2205+27360+3033+16332</f>
        <v>48930</v>
      </c>
      <c r="E11" s="67">
        <f>1977+23956+2746.5+14920</f>
        <v>43599.5</v>
      </c>
      <c r="F11" s="67">
        <f>1897.5+25176+2919+16324</f>
        <v>46316.5</v>
      </c>
      <c r="G11" s="67">
        <f>1726.5+24484+2805+16644</f>
        <v>45659.5</v>
      </c>
      <c r="H11" s="67">
        <f>1537.5+18568+1996.5+11632</f>
        <v>33734</v>
      </c>
      <c r="I11" s="67">
        <f>1762.5+21292+2434.5+13756</f>
        <v>39245</v>
      </c>
      <c r="J11" s="67">
        <f>2028+29992+2460+18672</f>
        <v>53152</v>
      </c>
      <c r="K11" s="67">
        <f>2005.5+23356+2857.5+15292</f>
        <v>43511</v>
      </c>
      <c r="L11" s="67">
        <f>1899+26796+3102+18840</f>
        <v>50637</v>
      </c>
      <c r="M11" s="67">
        <f>1965+26288+2850+16504</f>
        <v>47607</v>
      </c>
      <c r="N11" s="67">
        <f>1816.5+24660+2722.5+15084</f>
        <v>44283</v>
      </c>
      <c r="O11" s="101">
        <f t="shared" si="0"/>
        <v>547743.5</v>
      </c>
      <c r="P11" s="67">
        <v>3.01</v>
      </c>
      <c r="Q11" s="67">
        <v>365</v>
      </c>
      <c r="R11" s="101">
        <f t="shared" si="1"/>
        <v>1500.6671232876713</v>
      </c>
      <c r="S11" s="15" t="s">
        <v>195</v>
      </c>
    </row>
    <row r="12" spans="1:19" ht="14.1" customHeight="1">
      <c r="A12" s="96">
        <v>6</v>
      </c>
      <c r="B12" s="94" t="s">
        <v>130</v>
      </c>
      <c r="C12" s="67">
        <f>5476+9477+1654+13368</f>
        <v>29975</v>
      </c>
      <c r="D12" s="67">
        <f>5470+11793+1501+15282</f>
        <v>34046</v>
      </c>
      <c r="E12" s="67">
        <f>4988+7575+1262.4+11109</f>
        <v>24934.400000000001</v>
      </c>
      <c r="F12" s="67">
        <f>5148+7929+1403.8+10956</f>
        <v>25436.799999999999</v>
      </c>
      <c r="G12" s="67">
        <f>4266+8055+1311.5+10419</f>
        <v>24051.5</v>
      </c>
      <c r="H12" s="67">
        <f>3394+5481+1026.8+7431</f>
        <v>17332.8</v>
      </c>
      <c r="I12" s="67">
        <f>4172+6477+1307.7+8634</f>
        <v>20590.7</v>
      </c>
      <c r="J12" s="67">
        <f>4000+8499+12054</f>
        <v>24553</v>
      </c>
      <c r="K12" s="67">
        <f>4606+7602+9213</f>
        <v>21421</v>
      </c>
      <c r="L12" s="67">
        <f>4682+10338+11325</f>
        <v>26345</v>
      </c>
      <c r="M12" s="67">
        <f>4522+9180+1436.1+11847</f>
        <v>26985.1</v>
      </c>
      <c r="N12" s="67">
        <f>4310+10278+1448.7+12687</f>
        <v>28723.7</v>
      </c>
      <c r="O12" s="101">
        <f t="shared" si="0"/>
        <v>304395</v>
      </c>
      <c r="P12" s="67">
        <v>2.1</v>
      </c>
      <c r="Q12" s="67">
        <v>365</v>
      </c>
      <c r="R12" s="101">
        <f t="shared" si="1"/>
        <v>833.95890410958907</v>
      </c>
      <c r="S12" s="15" t="s">
        <v>195</v>
      </c>
    </row>
    <row r="13" spans="1:19" ht="14.1" customHeight="1">
      <c r="A13" s="96">
        <v>7</v>
      </c>
      <c r="B13" s="94" t="s">
        <v>131</v>
      </c>
      <c r="C13" s="67">
        <f>1800+26680+2040+23080</f>
        <v>53600</v>
      </c>
      <c r="D13" s="67">
        <f>2040+29080+2510+23600</f>
        <v>57230</v>
      </c>
      <c r="E13" s="67">
        <f>1640+22800+1980+19240</f>
        <v>45660</v>
      </c>
      <c r="F13" s="67">
        <f>2080+22000+2080+19720</f>
        <v>45880</v>
      </c>
      <c r="G13" s="67">
        <f>1760+24840+2030+22320</f>
        <v>50950</v>
      </c>
      <c r="H13" s="67">
        <f>1360+21320+1710+20880</f>
        <v>45270</v>
      </c>
      <c r="I13" s="67">
        <f>1600+21480+2000+20040</f>
        <v>45120</v>
      </c>
      <c r="J13" s="67">
        <f>1480+24000+1920+23160</f>
        <v>50560</v>
      </c>
      <c r="K13" s="67">
        <f>1920+22880+2200+21480</f>
        <v>48480</v>
      </c>
      <c r="L13" s="67">
        <f>1640+24920+2100+22880</f>
        <v>51540</v>
      </c>
      <c r="M13" s="67">
        <f>1920+25400+2440+22680</f>
        <v>52440</v>
      </c>
      <c r="N13" s="67">
        <f>2080+25160+2510+24280</f>
        <v>54030</v>
      </c>
      <c r="O13" s="101">
        <f t="shared" si="0"/>
        <v>600760</v>
      </c>
      <c r="P13" s="67">
        <v>3.01</v>
      </c>
      <c r="Q13" s="67">
        <v>365</v>
      </c>
      <c r="R13" s="101">
        <f t="shared" si="1"/>
        <v>1645.9178082191781</v>
      </c>
      <c r="S13" s="15" t="s">
        <v>195</v>
      </c>
    </row>
    <row r="14" spans="1:19" ht="14.1" customHeight="1">
      <c r="A14" s="96">
        <v>8</v>
      </c>
      <c r="B14" s="94" t="s">
        <v>132</v>
      </c>
      <c r="C14" s="67">
        <f>2325+30960</f>
        <v>33285</v>
      </c>
      <c r="D14" s="67">
        <f>2640+33760</f>
        <v>36400</v>
      </c>
      <c r="E14" s="67">
        <f>2130+26920</f>
        <v>29050</v>
      </c>
      <c r="F14" s="67">
        <f>2190+27200</f>
        <v>29390</v>
      </c>
      <c r="G14" s="67">
        <f>2100+29600</f>
        <v>31700</v>
      </c>
      <c r="H14" s="67">
        <f>2055+27160</f>
        <v>29215</v>
      </c>
      <c r="I14" s="67">
        <f>2580+26120</f>
        <v>28700</v>
      </c>
      <c r="J14" s="67">
        <f>2355+31440</f>
        <v>33795</v>
      </c>
      <c r="K14" s="67">
        <f>2460+26320</f>
        <v>28780</v>
      </c>
      <c r="L14" s="67">
        <f>2175+30800</f>
        <v>32975</v>
      </c>
      <c r="M14" s="67">
        <f>2625+29920</f>
        <v>32545</v>
      </c>
      <c r="N14" s="67">
        <f>2070+33920</f>
        <v>35990</v>
      </c>
      <c r="O14" s="101">
        <f t="shared" si="0"/>
        <v>381825</v>
      </c>
      <c r="P14" s="67">
        <v>3.01</v>
      </c>
      <c r="Q14" s="67">
        <v>365</v>
      </c>
      <c r="R14" s="101">
        <f t="shared" si="1"/>
        <v>1046.0958904109589</v>
      </c>
      <c r="S14" s="15" t="s">
        <v>195</v>
      </c>
    </row>
    <row r="15" spans="1:19" ht="14.1" customHeight="1">
      <c r="A15" s="96">
        <v>9</v>
      </c>
      <c r="B15" s="94" t="s">
        <v>133</v>
      </c>
      <c r="C15" s="67">
        <f>173+68+4800+2040</f>
        <v>7081</v>
      </c>
      <c r="D15" s="67">
        <f>156+877+2680+2160</f>
        <v>5873</v>
      </c>
      <c r="E15" s="67">
        <f>97.49+501.94+2314.6+1903.4</f>
        <v>4817.43</v>
      </c>
      <c r="F15" s="67">
        <f>125.51+471.06+1880.6+1848</f>
        <v>4325.17</v>
      </c>
      <c r="G15" s="67">
        <f>102+204+2184.8+1788.6</f>
        <v>4279.3999999999996</v>
      </c>
      <c r="H15" s="67">
        <f>150+1480+1260</f>
        <v>2890</v>
      </c>
      <c r="I15" s="67">
        <f>0.1+197+2280+1820</f>
        <v>4297.1000000000004</v>
      </c>
      <c r="J15" s="67">
        <f>0.1+176.6+2528+1634</f>
        <v>4338.7</v>
      </c>
      <c r="K15" s="67">
        <f>206+2860+2320</f>
        <v>5386</v>
      </c>
      <c r="L15" s="67">
        <f>274.7+3300+2780</f>
        <v>6354.7</v>
      </c>
      <c r="M15" s="67">
        <f>402.3+3830+3006</f>
        <v>7238.3</v>
      </c>
      <c r="N15" s="67">
        <f>390+3954+3222</f>
        <v>7566</v>
      </c>
      <c r="O15" s="101">
        <f t="shared" si="0"/>
        <v>64446.799999999996</v>
      </c>
      <c r="P15" s="67">
        <v>3.01</v>
      </c>
      <c r="Q15" s="67">
        <v>365</v>
      </c>
      <c r="R15" s="101">
        <f t="shared" si="1"/>
        <v>176.56657534246574</v>
      </c>
      <c r="S15" s="15" t="s">
        <v>195</v>
      </c>
    </row>
    <row r="16" spans="1:19" ht="14.1" customHeight="1">
      <c r="A16" s="96">
        <v>10</v>
      </c>
      <c r="B16" s="94" t="s">
        <v>134</v>
      </c>
      <c r="C16" s="67">
        <f>2100+7280+1060+15090</f>
        <v>25530</v>
      </c>
      <c r="D16" s="67">
        <f>2100+9840+1044+16020</f>
        <v>29004</v>
      </c>
      <c r="E16" s="67">
        <f>1948.5+7194+902+13290</f>
        <v>23334.5</v>
      </c>
      <c r="F16" s="67">
        <f>1726.5+6706+898+13560</f>
        <v>22890.5</v>
      </c>
      <c r="G16" s="67">
        <f>1110+6900+580+11880</f>
        <v>20470</v>
      </c>
      <c r="H16" s="67">
        <f>795+4600+260+9990</f>
        <v>15645</v>
      </c>
      <c r="I16" s="67">
        <f>1005+6240+500+10980</f>
        <v>18725</v>
      </c>
      <c r="J16" s="67">
        <f>1170+6360+480+11460</f>
        <v>19470</v>
      </c>
      <c r="K16" s="67">
        <f>1320+7060+440+11220</f>
        <v>20040</v>
      </c>
      <c r="L16" s="67">
        <f>1515+8120+660+10860</f>
        <v>21155</v>
      </c>
      <c r="M16" s="67">
        <f>2025+8480+760+11370</f>
        <v>22635</v>
      </c>
      <c r="N16" s="67">
        <f>2115+8540+900+11460</f>
        <v>23015</v>
      </c>
      <c r="O16" s="101">
        <f t="shared" si="0"/>
        <v>261914</v>
      </c>
      <c r="P16" s="67">
        <v>3.01</v>
      </c>
      <c r="Q16" s="67">
        <v>365</v>
      </c>
      <c r="R16" s="101">
        <f t="shared" si="1"/>
        <v>717.57260273972599</v>
      </c>
      <c r="S16" s="15" t="s">
        <v>195</v>
      </c>
    </row>
    <row r="17" spans="1:19" ht="14.1" customHeight="1">
      <c r="A17" s="96">
        <v>11</v>
      </c>
      <c r="B17" s="94" t="s">
        <v>65</v>
      </c>
      <c r="C17" s="67">
        <f>21756</f>
        <v>21756</v>
      </c>
      <c r="D17" s="67">
        <v>22572</v>
      </c>
      <c r="E17" s="67">
        <v>13344</v>
      </c>
      <c r="F17" s="67">
        <f>15576</f>
        <v>15576</v>
      </c>
      <c r="G17" s="67">
        <f>11838</f>
        <v>11838</v>
      </c>
      <c r="H17" s="67">
        <v>11784</v>
      </c>
      <c r="I17" s="67">
        <f>11946</f>
        <v>11946</v>
      </c>
      <c r="J17" s="67">
        <f>14964</f>
        <v>14964</v>
      </c>
      <c r="K17" s="67">
        <v>13674</v>
      </c>
      <c r="L17" s="67">
        <f>18672</f>
        <v>18672</v>
      </c>
      <c r="M17" s="67">
        <v>17202</v>
      </c>
      <c r="N17" s="67">
        <f>16554</f>
        <v>16554</v>
      </c>
      <c r="O17" s="101">
        <f t="shared" si="0"/>
        <v>189882</v>
      </c>
      <c r="P17" s="67">
        <v>2.1</v>
      </c>
      <c r="Q17" s="67">
        <v>365</v>
      </c>
      <c r="R17" s="101">
        <f t="shared" si="1"/>
        <v>520.2246575342466</v>
      </c>
      <c r="S17" s="15" t="s">
        <v>195</v>
      </c>
    </row>
    <row r="18" spans="1:19" ht="14.1" customHeight="1">
      <c r="A18" s="96">
        <v>12</v>
      </c>
      <c r="B18" s="98" t="s">
        <v>135</v>
      </c>
      <c r="C18" s="67">
        <f>3580+36840</f>
        <v>40420</v>
      </c>
      <c r="D18" s="67">
        <f>2840+26400</f>
        <v>29240</v>
      </c>
      <c r="E18" s="67">
        <f>2820+24900</f>
        <v>27720</v>
      </c>
      <c r="F18" s="67">
        <f>2860+27660</f>
        <v>30520</v>
      </c>
      <c r="G18" s="100">
        <f>2300+28950</f>
        <v>31250</v>
      </c>
      <c r="H18" s="100">
        <f>2220+28950</f>
        <v>31170</v>
      </c>
      <c r="I18" s="67">
        <f>2420+26100</f>
        <v>28520</v>
      </c>
      <c r="J18" s="67">
        <f>2240+49740</f>
        <v>51980</v>
      </c>
      <c r="K18" s="67">
        <f>3340+27720</f>
        <v>31060</v>
      </c>
      <c r="L18" s="67">
        <f>3580+32520</f>
        <v>36100</v>
      </c>
      <c r="M18" s="67">
        <f>3720+30720</f>
        <v>34440</v>
      </c>
      <c r="N18" s="67">
        <f>3740+33420</f>
        <v>37160</v>
      </c>
      <c r="O18" s="101">
        <f t="shared" si="0"/>
        <v>409580</v>
      </c>
      <c r="P18" s="67">
        <v>3.01</v>
      </c>
      <c r="Q18" s="67">
        <v>365</v>
      </c>
      <c r="R18" s="101">
        <f t="shared" si="1"/>
        <v>1122.1369863013699</v>
      </c>
      <c r="S18" s="15" t="s">
        <v>195</v>
      </c>
    </row>
    <row r="19" spans="1:19" ht="14.1" customHeight="1">
      <c r="A19" s="96">
        <v>13</v>
      </c>
      <c r="B19" s="94" t="s">
        <v>136</v>
      </c>
      <c r="C19" s="67">
        <f>1355.2+13984</f>
        <v>15339.2</v>
      </c>
      <c r="D19" s="67">
        <f>1390.4+14412</f>
        <v>15802.4</v>
      </c>
      <c r="E19" s="67">
        <f>1224.8+11636</f>
        <v>12860.8</v>
      </c>
      <c r="F19" s="67">
        <f>1168.4+11944</f>
        <v>13112.4</v>
      </c>
      <c r="G19" s="67">
        <f>1134.4+10516</f>
        <v>11650.4</v>
      </c>
      <c r="H19" s="67">
        <f>861.6+9364</f>
        <v>10225.6</v>
      </c>
      <c r="I19" s="67">
        <f>970.4+11816</f>
        <v>12786.4</v>
      </c>
      <c r="J19" s="67">
        <f>1169.2+13288</f>
        <v>14457.2</v>
      </c>
      <c r="K19" s="67">
        <f>1206+11296</f>
        <v>12502</v>
      </c>
      <c r="L19" s="67">
        <f>1376+14384</f>
        <v>15760</v>
      </c>
      <c r="M19" s="67">
        <f>1276.8+12472</f>
        <v>13748.8</v>
      </c>
      <c r="N19" s="67">
        <f>1360.8+13484</f>
        <v>14844.8</v>
      </c>
      <c r="O19" s="101">
        <f t="shared" si="0"/>
        <v>163089.99999999997</v>
      </c>
      <c r="P19" s="67">
        <v>3.01</v>
      </c>
      <c r="Q19" s="67">
        <v>365</v>
      </c>
      <c r="R19" s="101">
        <f t="shared" si="1"/>
        <v>446.8219178082191</v>
      </c>
      <c r="S19" s="15" t="s">
        <v>195</v>
      </c>
    </row>
    <row r="20" spans="1:19" ht="14.1" customHeight="1">
      <c r="A20" s="96">
        <v>14</v>
      </c>
      <c r="B20" s="94" t="s">
        <v>137</v>
      </c>
      <c r="C20" s="67">
        <f>522+12954+702</f>
        <v>14178</v>
      </c>
      <c r="D20" s="67">
        <f>520+12606+671</f>
        <v>13797</v>
      </c>
      <c r="E20" s="67">
        <f>477+10140+523</f>
        <v>11140</v>
      </c>
      <c r="F20" s="67">
        <f>523+11385+543</f>
        <v>12451</v>
      </c>
      <c r="G20" s="67">
        <f>520+11745+513</f>
        <v>12778</v>
      </c>
      <c r="H20" s="67">
        <f>402+8946+306</f>
        <v>9654</v>
      </c>
      <c r="I20" s="67">
        <f>413+11607+336</f>
        <v>12356</v>
      </c>
      <c r="J20" s="67">
        <f>504+13335+416</f>
        <v>14255</v>
      </c>
      <c r="K20" s="67">
        <f>532+11646+462</f>
        <v>12640</v>
      </c>
      <c r="L20" s="67">
        <f>552+14433+606</f>
        <v>15591</v>
      </c>
      <c r="M20" s="100">
        <v>12884</v>
      </c>
      <c r="N20" s="67">
        <f>424+10200+613</f>
        <v>11237</v>
      </c>
      <c r="O20" s="101">
        <f t="shared" si="0"/>
        <v>152961</v>
      </c>
      <c r="P20" s="67">
        <v>3.01</v>
      </c>
      <c r="Q20" s="67">
        <v>365</v>
      </c>
      <c r="R20" s="101">
        <f t="shared" si="1"/>
        <v>419.07123287671232</v>
      </c>
      <c r="S20" s="15" t="s">
        <v>195</v>
      </c>
    </row>
    <row r="21" spans="1:19" ht="14.1" customHeight="1">
      <c r="A21" s="96">
        <v>15</v>
      </c>
      <c r="B21" s="94" t="s">
        <v>138</v>
      </c>
      <c r="C21" s="67">
        <f>900+22144+1521</f>
        <v>24565</v>
      </c>
      <c r="D21" s="67">
        <f>964+23628+1543.5</f>
        <v>26135.5</v>
      </c>
      <c r="E21" s="67">
        <f>891+17016+1174.5</f>
        <v>19081.5</v>
      </c>
      <c r="F21" s="67">
        <f>994+19452+1227</f>
        <v>21673</v>
      </c>
      <c r="G21" s="67">
        <f>947+18748+1120.5</f>
        <v>20815.5</v>
      </c>
      <c r="H21" s="67">
        <f>758+15356+874.5</f>
        <v>16988.5</v>
      </c>
      <c r="I21" s="67">
        <f>849+19028+879</f>
        <v>20756</v>
      </c>
      <c r="J21" s="67">
        <f>1098+22152+1096.5</f>
        <v>24346.5</v>
      </c>
      <c r="K21" s="67">
        <f>1150+18896+1237.5</f>
        <v>21283.5</v>
      </c>
      <c r="L21" s="67">
        <f>1085+24316+1485</f>
        <v>26886</v>
      </c>
      <c r="M21" s="67">
        <v>22253.1</v>
      </c>
      <c r="N21" s="67">
        <f>714+17488+1345.5</f>
        <v>19547.5</v>
      </c>
      <c r="O21" s="101">
        <f t="shared" si="0"/>
        <v>264331.59999999998</v>
      </c>
      <c r="P21" s="67">
        <v>3.01</v>
      </c>
      <c r="Q21" s="67">
        <v>365</v>
      </c>
      <c r="R21" s="101">
        <f t="shared" si="1"/>
        <v>724.19616438356161</v>
      </c>
      <c r="S21" s="15" t="s">
        <v>195</v>
      </c>
    </row>
    <row r="22" spans="1:19" ht="14.1" customHeight="1">
      <c r="A22" s="96">
        <v>16</v>
      </c>
      <c r="B22" s="94" t="s">
        <v>139</v>
      </c>
      <c r="C22" s="67">
        <f>700+13200+441</f>
        <v>14341</v>
      </c>
      <c r="D22" s="67">
        <f>578+13350+456</f>
        <v>14384</v>
      </c>
      <c r="E22" s="67">
        <f>548+11361+421</f>
        <v>12330</v>
      </c>
      <c r="F22" s="67">
        <f>578+11388+482</f>
        <v>12448</v>
      </c>
      <c r="G22" s="67">
        <f>408+10800+453</f>
        <v>11661</v>
      </c>
      <c r="H22" s="67">
        <f>369+9999+471</f>
        <v>10839</v>
      </c>
      <c r="I22" s="67">
        <f>422+12432+480</f>
        <v>13334</v>
      </c>
      <c r="J22" s="67">
        <f>484+13671+550</f>
        <v>14705</v>
      </c>
      <c r="K22" s="67">
        <f>556+11379+522</f>
        <v>12457</v>
      </c>
      <c r="L22" s="67">
        <f>609+15093+527</f>
        <v>16229</v>
      </c>
      <c r="M22" s="67">
        <f>678+12939+475</f>
        <v>14092</v>
      </c>
      <c r="N22" s="67">
        <f>679+13452+517</f>
        <v>14648</v>
      </c>
      <c r="O22" s="101">
        <f t="shared" si="0"/>
        <v>161468</v>
      </c>
      <c r="P22" s="67">
        <v>3.01</v>
      </c>
      <c r="Q22" s="67">
        <v>365</v>
      </c>
      <c r="R22" s="101">
        <f t="shared" si="1"/>
        <v>442.37808219178083</v>
      </c>
      <c r="S22" s="15" t="s">
        <v>195</v>
      </c>
    </row>
    <row r="23" spans="1:19" ht="14.1" customHeight="1">
      <c r="A23" s="96">
        <v>17</v>
      </c>
      <c r="B23" s="94" t="s">
        <v>140</v>
      </c>
      <c r="C23" s="67">
        <f>900+12390+506</f>
        <v>13796</v>
      </c>
      <c r="D23" s="67">
        <f>935+11760+550</f>
        <v>13245</v>
      </c>
      <c r="E23" s="67">
        <f>767+10338+486</f>
        <v>11591</v>
      </c>
      <c r="F23" s="67">
        <f>790+11115+568</f>
        <v>12473</v>
      </c>
      <c r="G23" s="67">
        <f>632+10671+502</f>
        <v>11805</v>
      </c>
      <c r="H23" s="67">
        <f>568+9966+469</f>
        <v>11003</v>
      </c>
      <c r="I23" s="67">
        <f>658+12267+479</f>
        <v>13404</v>
      </c>
      <c r="J23" s="67">
        <f>698+12705+550</f>
        <v>13953</v>
      </c>
      <c r="K23" s="67">
        <f>772+11493+552</f>
        <v>12817</v>
      </c>
      <c r="L23" s="67">
        <f>881+13515+561</f>
        <v>14957</v>
      </c>
      <c r="M23" s="67">
        <f>905+12144+532</f>
        <v>13581</v>
      </c>
      <c r="N23" s="67">
        <f>924+11499+527</f>
        <v>12950</v>
      </c>
      <c r="O23" s="101">
        <f t="shared" si="0"/>
        <v>155575</v>
      </c>
      <c r="P23" s="67">
        <v>3.01</v>
      </c>
      <c r="Q23" s="67">
        <v>365</v>
      </c>
      <c r="R23" s="101">
        <f t="shared" si="1"/>
        <v>426.23287671232879</v>
      </c>
      <c r="S23" s="15" t="s">
        <v>195</v>
      </c>
    </row>
    <row r="24" spans="1:19" ht="14.1" customHeight="1">
      <c r="A24" s="96">
        <v>18</v>
      </c>
      <c r="B24" s="99" t="s">
        <v>141</v>
      </c>
      <c r="C24" s="67">
        <f>6060+25920</f>
        <v>31980</v>
      </c>
      <c r="D24" s="67">
        <f>6160+31080</f>
        <v>37240</v>
      </c>
      <c r="E24" s="67">
        <f>6480+24180</f>
        <v>30660</v>
      </c>
      <c r="F24" s="67">
        <f>6580+27960</f>
        <v>34540</v>
      </c>
      <c r="G24" s="67">
        <f>3860+26280</f>
        <v>30140</v>
      </c>
      <c r="H24" s="67">
        <f>3440+25140</f>
        <v>28580</v>
      </c>
      <c r="I24" s="67">
        <f>3280+34620</f>
        <v>37900</v>
      </c>
      <c r="J24" s="67">
        <f>3900+31500</f>
        <v>35400</v>
      </c>
      <c r="K24" s="67">
        <f>3680+23580</f>
        <v>27260</v>
      </c>
      <c r="L24" s="67">
        <f>4200+36900</f>
        <v>41100</v>
      </c>
      <c r="M24" s="67">
        <f>7060+31560</f>
        <v>38620</v>
      </c>
      <c r="N24" s="67">
        <f>5580+27900</f>
        <v>33480</v>
      </c>
      <c r="O24" s="101">
        <f t="shared" si="0"/>
        <v>406900</v>
      </c>
      <c r="P24" s="67">
        <v>3.01</v>
      </c>
      <c r="Q24" s="67">
        <v>365</v>
      </c>
      <c r="R24" s="101">
        <f t="shared" si="1"/>
        <v>1114.7945205479452</v>
      </c>
      <c r="S24" s="15" t="s">
        <v>195</v>
      </c>
    </row>
    <row r="25" spans="1:19" ht="14.1" customHeight="1">
      <c r="A25" s="96">
        <v>19</v>
      </c>
      <c r="B25" s="99" t="s">
        <v>142</v>
      </c>
      <c r="C25" s="67">
        <f>5810+26040</f>
        <v>31850</v>
      </c>
      <c r="D25" s="67">
        <f>6250+28840</f>
        <v>35090</v>
      </c>
      <c r="E25" s="67">
        <f>5960+24360</f>
        <v>30320</v>
      </c>
      <c r="F25" s="67">
        <f>5440+25080</f>
        <v>30520</v>
      </c>
      <c r="G25" s="67">
        <f>3300+24000</f>
        <v>27300</v>
      </c>
      <c r="H25" s="67">
        <f>3230+23920</f>
        <v>27150</v>
      </c>
      <c r="I25" s="67">
        <f>3000+31680</f>
        <v>34680</v>
      </c>
      <c r="J25" s="67">
        <f>3580+28560</f>
        <v>32140</v>
      </c>
      <c r="K25" s="67">
        <f>3530+22360</f>
        <v>25890</v>
      </c>
      <c r="L25" s="67">
        <f>4150+31880</f>
        <v>36030</v>
      </c>
      <c r="M25" s="67">
        <f>6470+29000</f>
        <v>35470</v>
      </c>
      <c r="N25" s="67">
        <f>6200+26640</f>
        <v>32840</v>
      </c>
      <c r="O25" s="101">
        <f t="shared" si="0"/>
        <v>379280</v>
      </c>
      <c r="P25" s="67">
        <v>3.01</v>
      </c>
      <c r="Q25" s="67">
        <v>365</v>
      </c>
      <c r="R25" s="101">
        <f t="shared" si="1"/>
        <v>1039.1232876712329</v>
      </c>
      <c r="S25" s="15" t="s">
        <v>195</v>
      </c>
    </row>
    <row r="26" spans="1:19" ht="14.1" customHeight="1">
      <c r="A26" s="96">
        <v>20</v>
      </c>
      <c r="B26" s="94" t="s">
        <v>143</v>
      </c>
      <c r="C26" s="67">
        <f>1200+12680</f>
        <v>13880</v>
      </c>
      <c r="D26" s="67">
        <f>1050+10800</f>
        <v>11850</v>
      </c>
      <c r="E26" s="67">
        <f>800+9060</f>
        <v>9860</v>
      </c>
      <c r="F26" s="67">
        <f>800+9460</f>
        <v>10260</v>
      </c>
      <c r="G26" s="67">
        <f>750+9760</f>
        <v>10510</v>
      </c>
      <c r="H26" s="67">
        <f>670+9620</f>
        <v>10290</v>
      </c>
      <c r="I26" s="67">
        <f>710+9420</f>
        <v>10130</v>
      </c>
      <c r="J26" s="67">
        <f>820+11580</f>
        <v>12400</v>
      </c>
      <c r="K26" s="67">
        <f>910+10460</f>
        <v>11370</v>
      </c>
      <c r="L26" s="67">
        <f>1020+13260</f>
        <v>14280</v>
      </c>
      <c r="M26" s="67">
        <f>880+11360</f>
        <v>12240</v>
      </c>
      <c r="N26" s="67">
        <f>920+11440</f>
        <v>12360</v>
      </c>
      <c r="O26" s="101">
        <f t="shared" si="0"/>
        <v>139430</v>
      </c>
      <c r="P26" s="67">
        <v>3.01</v>
      </c>
      <c r="Q26" s="67">
        <v>365</v>
      </c>
      <c r="R26" s="101">
        <f t="shared" si="1"/>
        <v>382</v>
      </c>
      <c r="S26" s="15" t="s">
        <v>195</v>
      </c>
    </row>
    <row r="27" spans="1:19" ht="14.1" customHeight="1">
      <c r="A27" s="96">
        <v>21</v>
      </c>
      <c r="B27" s="94" t="s">
        <v>144</v>
      </c>
      <c r="C27" s="67">
        <f>3600+24600</f>
        <v>28200</v>
      </c>
      <c r="D27" s="67">
        <f>3360+25200</f>
        <v>28560</v>
      </c>
      <c r="E27" s="67">
        <f>2520+19020</f>
        <v>21540</v>
      </c>
      <c r="F27" s="67">
        <f>2260+20640</f>
        <v>22900</v>
      </c>
      <c r="G27" s="67">
        <f>2120+17160</f>
        <v>19280</v>
      </c>
      <c r="H27" s="67">
        <f>1560+22020</f>
        <v>23580</v>
      </c>
      <c r="I27" s="67">
        <f>1900+19320</f>
        <v>21220</v>
      </c>
      <c r="J27" s="67">
        <f>2200+23940</f>
        <v>26140</v>
      </c>
      <c r="K27" s="67">
        <f>2340+21420</f>
        <v>23760</v>
      </c>
      <c r="L27" s="67">
        <f>2800+28080</f>
        <v>30880</v>
      </c>
      <c r="M27" s="67">
        <f>2860+23820</f>
        <v>26680</v>
      </c>
      <c r="N27" s="67">
        <f>3180+24660</f>
        <v>27840</v>
      </c>
      <c r="O27" s="101">
        <f t="shared" si="0"/>
        <v>300580</v>
      </c>
      <c r="P27" s="67">
        <v>3.01</v>
      </c>
      <c r="Q27" s="67">
        <v>365</v>
      </c>
      <c r="R27" s="101">
        <f t="shared" si="1"/>
        <v>823.50684931506851</v>
      </c>
      <c r="S27" s="15" t="s">
        <v>195</v>
      </c>
    </row>
    <row r="28" spans="1:19" ht="14.1" customHeight="1">
      <c r="A28" s="96">
        <v>22</v>
      </c>
      <c r="B28" s="94" t="s">
        <v>145</v>
      </c>
      <c r="C28" s="67">
        <f>1160+15390+1400+27180+870+800+3690</f>
        <v>50490</v>
      </c>
      <c r="D28" s="67">
        <f>1220+15360+1440+28220+5490+760+270+1430</f>
        <v>54190</v>
      </c>
      <c r="E28" s="67">
        <f>1120+11640+1160+21460+620+200+1470</f>
        <v>37670</v>
      </c>
      <c r="F28" s="67">
        <f>1240+11310+1120+25320+660+1350</f>
        <v>41000</v>
      </c>
      <c r="G28" s="67">
        <f>1040+10020+800+21460+620+1270</f>
        <v>35210</v>
      </c>
      <c r="H28" s="67">
        <f>1080+12660+600+27420+500+1430</f>
        <v>43690</v>
      </c>
      <c r="I28" s="67">
        <f>1080+11970+360+23140+520+1510</f>
        <v>38580</v>
      </c>
      <c r="J28" s="67">
        <f>1220+15360+520+27540+600+1710</f>
        <v>46950</v>
      </c>
      <c r="K28" s="67">
        <f>1220+13320+20840+24020+270+680+1630</f>
        <v>61980</v>
      </c>
      <c r="L28" s="67">
        <f>1240+17340+31560+945+740+1650</f>
        <v>53475</v>
      </c>
      <c r="M28" s="67">
        <f>1160+15300+760+27000+885+820+1360</f>
        <v>47285</v>
      </c>
      <c r="N28" s="67">
        <f>1200+15600+1640+27960+900+880+1680</f>
        <v>49860</v>
      </c>
      <c r="O28" s="101">
        <f t="shared" si="0"/>
        <v>560380</v>
      </c>
      <c r="P28" s="67">
        <v>3.01</v>
      </c>
      <c r="Q28" s="67">
        <v>365</v>
      </c>
      <c r="R28" s="101">
        <f t="shared" si="1"/>
        <v>1535.2876712328766</v>
      </c>
      <c r="S28" s="15" t="s">
        <v>195</v>
      </c>
    </row>
    <row r="29" spans="1:19" ht="14.1" customHeight="1">
      <c r="A29" s="96">
        <v>23</v>
      </c>
      <c r="B29" s="94" t="s">
        <v>146</v>
      </c>
      <c r="C29" s="67">
        <f>2930+22160+1930+30720+323+49</f>
        <v>58112</v>
      </c>
      <c r="D29" s="67">
        <f>2890+21160+1920+31140+306+44</f>
        <v>57460</v>
      </c>
      <c r="E29" s="67">
        <f>2390+17400+1590+26340+241+40</f>
        <v>48001</v>
      </c>
      <c r="F29" s="67">
        <f>2680+18160+1800+27720+223+48</f>
        <v>50631</v>
      </c>
      <c r="G29" s="67">
        <f>2350+17560+1670+27060+163+34</f>
        <v>48837</v>
      </c>
      <c r="H29" s="67">
        <f>2000+21600+1560+30720+140+31</f>
        <v>56051</v>
      </c>
      <c r="I29" s="67">
        <f>2490+20800+1910+30300+154+44</f>
        <v>55698</v>
      </c>
      <c r="J29" s="67">
        <f>2690+17640+1770+26520+177+51</f>
        <v>48848</v>
      </c>
      <c r="K29" s="67">
        <f>2790+18400+2200+28260+228+54</f>
        <v>51932</v>
      </c>
      <c r="L29" s="67">
        <f>2600+21600+2030+31680+216+58</f>
        <v>58184</v>
      </c>
      <c r="M29" s="67">
        <f>2760+18840+2100+28740+280+52</f>
        <v>52772</v>
      </c>
      <c r="N29" s="67">
        <f>2960+19960+2250+29400+372+58</f>
        <v>55000</v>
      </c>
      <c r="O29" s="101">
        <f t="shared" si="0"/>
        <v>641526</v>
      </c>
      <c r="P29" s="67">
        <v>3.01</v>
      </c>
      <c r="Q29" s="67">
        <v>365</v>
      </c>
      <c r="R29" s="101">
        <f t="shared" si="1"/>
        <v>1757.6054794520549</v>
      </c>
      <c r="S29" s="15" t="s">
        <v>195</v>
      </c>
    </row>
    <row r="30" spans="1:19" ht="14.1" customHeight="1">
      <c r="A30" s="96">
        <v>24</v>
      </c>
      <c r="B30" s="94" t="s">
        <v>147</v>
      </c>
      <c r="C30" s="67">
        <f>2370+31120+5910</f>
        <v>39400</v>
      </c>
      <c r="D30" s="67">
        <f>2270+31200+5490</f>
        <v>38960</v>
      </c>
      <c r="E30" s="67">
        <f>1960+25760+4875</f>
        <v>32595</v>
      </c>
      <c r="F30" s="67">
        <f>2120+27320+4245</f>
        <v>33685</v>
      </c>
      <c r="G30" s="67">
        <f>1610+26400+3075</f>
        <v>31085</v>
      </c>
      <c r="H30" s="67">
        <f>1360+32080+2370</f>
        <v>35810</v>
      </c>
      <c r="I30" s="67">
        <f>1690+31560+2910</f>
        <v>36160</v>
      </c>
      <c r="J30" s="67">
        <f>1620+28480+3240</f>
        <v>33340</v>
      </c>
      <c r="K30" s="67">
        <f>2130+28280+4440</f>
        <v>34850</v>
      </c>
      <c r="L30" s="67">
        <f>1960+30720+4395</f>
        <v>37075</v>
      </c>
      <c r="M30" s="67">
        <f>2400+29280+5145</f>
        <v>36825</v>
      </c>
      <c r="N30" s="67">
        <f>2540+30440+5700</f>
        <v>38680</v>
      </c>
      <c r="O30" s="101">
        <f t="shared" si="0"/>
        <v>428465</v>
      </c>
      <c r="P30" s="67">
        <v>3.01</v>
      </c>
      <c r="Q30" s="67">
        <v>365</v>
      </c>
      <c r="R30" s="101">
        <f t="shared" si="1"/>
        <v>1173.8767123287671</v>
      </c>
      <c r="S30" s="15" t="s">
        <v>195</v>
      </c>
    </row>
    <row r="31" spans="1:19" ht="14.1" customHeight="1">
      <c r="A31" s="96">
        <v>25</v>
      </c>
      <c r="B31" s="94" t="s">
        <v>148</v>
      </c>
      <c r="C31" s="67">
        <f>2160+18440+1240+13840</f>
        <v>35680</v>
      </c>
      <c r="D31" s="67">
        <f>2210+18040+1260+14440</f>
        <v>35950</v>
      </c>
      <c r="E31" s="67">
        <f>1900+15080+1030+10760</f>
        <v>28770</v>
      </c>
      <c r="F31" s="67">
        <f>1960+16160+1030+10960</f>
        <v>30110</v>
      </c>
      <c r="G31" s="67">
        <f>1580+15200+860+10840</f>
        <v>28480</v>
      </c>
      <c r="H31" s="67">
        <f>1400+18240+810+12640</f>
        <v>33090</v>
      </c>
      <c r="I31" s="67">
        <f>1680+18160+990+13000</f>
        <v>33830</v>
      </c>
      <c r="J31" s="67">
        <f>1650+16680+920+11480</f>
        <v>30730</v>
      </c>
      <c r="K31" s="67">
        <f>2160+16560+1150+11560</f>
        <v>31430</v>
      </c>
      <c r="L31" s="67">
        <f>1960+18600+1060+13760</f>
        <v>35380</v>
      </c>
      <c r="M31" s="67">
        <f>2280+17560+1220+12360</f>
        <v>33420</v>
      </c>
      <c r="N31" s="67">
        <f>2370+18600+1310+13720</f>
        <v>36000</v>
      </c>
      <c r="O31" s="101">
        <f t="shared" si="0"/>
        <v>392870</v>
      </c>
      <c r="P31" s="67">
        <v>3.01</v>
      </c>
      <c r="Q31" s="67">
        <v>365</v>
      </c>
      <c r="R31" s="101">
        <f t="shared" si="1"/>
        <v>1076.3561643835617</v>
      </c>
      <c r="S31" s="15" t="s">
        <v>195</v>
      </c>
    </row>
    <row r="32" spans="1:19" ht="14.1" customHeight="1">
      <c r="A32" s="96">
        <v>26</v>
      </c>
      <c r="B32" s="94" t="s">
        <v>149</v>
      </c>
      <c r="C32" s="67">
        <f>2980+29040</f>
        <v>32020</v>
      </c>
      <c r="D32" s="67">
        <f>2860+29200</f>
        <v>32060</v>
      </c>
      <c r="E32" s="67">
        <f>2320+24280</f>
        <v>26600</v>
      </c>
      <c r="F32" s="67">
        <f>2420+25920</f>
        <v>28340</v>
      </c>
      <c r="G32" s="67">
        <f>2040+26400</f>
        <v>28440</v>
      </c>
      <c r="H32" s="67">
        <f>1750+30600</f>
        <v>32350</v>
      </c>
      <c r="I32" s="67">
        <f>2170+30120</f>
        <v>32290</v>
      </c>
      <c r="J32" s="67">
        <f>2110+26080</f>
        <v>28190</v>
      </c>
      <c r="K32" s="67">
        <f>2680+27200</f>
        <v>29880</v>
      </c>
      <c r="L32" s="67">
        <f>2540+30440</f>
        <v>32980</v>
      </c>
      <c r="M32" s="67">
        <f>2890+27920</f>
        <v>30810</v>
      </c>
      <c r="N32" s="67">
        <f>3030+28800</f>
        <v>31830</v>
      </c>
      <c r="O32" s="101">
        <f t="shared" si="0"/>
        <v>365790</v>
      </c>
      <c r="P32" s="67">
        <v>3.01</v>
      </c>
      <c r="Q32" s="67">
        <v>365</v>
      </c>
      <c r="R32" s="101">
        <f t="shared" si="1"/>
        <v>1002.1643835616438</v>
      </c>
      <c r="S32" s="15" t="s">
        <v>195</v>
      </c>
    </row>
    <row r="33" spans="1:19" ht="14.1" customHeight="1">
      <c r="A33" s="96">
        <v>27</v>
      </c>
      <c r="B33" s="94" t="s">
        <v>150</v>
      </c>
      <c r="C33" s="67">
        <f>1960+19800+2270+19560</f>
        <v>43590</v>
      </c>
      <c r="D33" s="67">
        <f>1940+19840+2130+19520</f>
        <v>43430</v>
      </c>
      <c r="E33" s="67">
        <f>1630+16480+1780+16200</f>
        <v>36090</v>
      </c>
      <c r="F33" s="67">
        <f>1690+17480+1960+17320</f>
        <v>38450</v>
      </c>
      <c r="G33" s="67">
        <f>1380+16520+1580+17160</f>
        <v>36640</v>
      </c>
      <c r="H33" s="67">
        <f>1250+19080+1440+19760</f>
        <v>41530</v>
      </c>
      <c r="I33" s="67">
        <f>1630+19680+1840+19360</f>
        <v>42510</v>
      </c>
      <c r="J33" s="67">
        <f>1370+18120+1800+16320</f>
        <v>37610</v>
      </c>
      <c r="K33" s="67">
        <f>1760+17640+2310+17080</f>
        <v>38790</v>
      </c>
      <c r="L33" s="67">
        <f>1520+19360+2050+19440</f>
        <v>42370</v>
      </c>
      <c r="M33" s="67">
        <f>1940+18400+2310+18040</f>
        <v>40690</v>
      </c>
      <c r="N33" s="67">
        <f>2050+18720+2390+18520</f>
        <v>41680</v>
      </c>
      <c r="O33" s="101">
        <f t="shared" si="0"/>
        <v>483380</v>
      </c>
      <c r="P33" s="67">
        <v>3.01</v>
      </c>
      <c r="Q33" s="67">
        <v>365</v>
      </c>
      <c r="R33" s="101">
        <f t="shared" si="1"/>
        <v>1324.3287671232877</v>
      </c>
      <c r="S33" s="15" t="s">
        <v>195</v>
      </c>
    </row>
    <row r="34" spans="1:19" ht="14.1" customHeight="1">
      <c r="A34" s="96">
        <v>28</v>
      </c>
      <c r="B34" s="94" t="s">
        <v>151</v>
      </c>
      <c r="C34" s="67">
        <f>2290+32880</f>
        <v>35170</v>
      </c>
      <c r="D34" s="67">
        <f>2160+32880</f>
        <v>35040</v>
      </c>
      <c r="E34" s="67">
        <f>1800+26920</f>
        <v>28720</v>
      </c>
      <c r="F34" s="67">
        <f>1780+28000</f>
        <v>29780</v>
      </c>
      <c r="G34" s="67">
        <f>1750+26680</f>
        <v>28430</v>
      </c>
      <c r="H34" s="67">
        <f>1590+32280</f>
        <v>33870</v>
      </c>
      <c r="I34" s="67">
        <f>1950+32120</f>
        <v>34070</v>
      </c>
      <c r="J34" s="67">
        <f>1810+30440</f>
        <v>32250</v>
      </c>
      <c r="K34" s="67">
        <f>2380+29120</f>
        <v>31500</v>
      </c>
      <c r="L34" s="67">
        <f>2160+33160</f>
        <v>35320</v>
      </c>
      <c r="M34" s="67">
        <f>2640+30000</f>
        <v>32640</v>
      </c>
      <c r="N34" s="67">
        <f>2900+30760</f>
        <v>33660</v>
      </c>
      <c r="O34" s="101">
        <f t="shared" si="0"/>
        <v>390450</v>
      </c>
      <c r="P34" s="67">
        <v>3.01</v>
      </c>
      <c r="Q34" s="67">
        <v>365</v>
      </c>
      <c r="R34" s="101">
        <f t="shared" si="1"/>
        <v>1069.7260273972602</v>
      </c>
      <c r="S34" s="15" t="s">
        <v>195</v>
      </c>
    </row>
    <row r="35" spans="1:19" ht="14.1" customHeight="1">
      <c r="A35" s="96">
        <v>29</v>
      </c>
      <c r="B35" s="94" t="s">
        <v>152</v>
      </c>
      <c r="C35" s="67">
        <f>2330+20920</f>
        <v>23250</v>
      </c>
      <c r="D35" s="67">
        <f>2170+27480</f>
        <v>29650</v>
      </c>
      <c r="E35" s="67">
        <f>1780+28760</f>
        <v>30540</v>
      </c>
      <c r="F35" s="67">
        <f>1750+32000</f>
        <v>33750</v>
      </c>
      <c r="G35" s="67">
        <f>1470+29280</f>
        <v>30750</v>
      </c>
      <c r="H35" s="67">
        <f>1290+26080</f>
        <v>27370</v>
      </c>
      <c r="I35" s="67">
        <f>1670+24800</f>
        <v>26470</v>
      </c>
      <c r="J35" s="67">
        <f>1590+19400</f>
        <v>20990</v>
      </c>
      <c r="K35" s="67">
        <f>2070+18600</f>
        <v>20670</v>
      </c>
      <c r="L35" s="67">
        <f>1800+21560</f>
        <v>23360</v>
      </c>
      <c r="M35" s="67">
        <f>2170+18960</f>
        <v>21130</v>
      </c>
      <c r="N35" s="67">
        <f>2150+19840</f>
        <v>21990</v>
      </c>
      <c r="O35" s="101">
        <f t="shared" si="0"/>
        <v>309920</v>
      </c>
      <c r="P35" s="67">
        <v>3.01</v>
      </c>
      <c r="Q35" s="67">
        <v>365</v>
      </c>
      <c r="R35" s="101">
        <f t="shared" si="1"/>
        <v>849.09589041095887</v>
      </c>
      <c r="S35" s="15" t="s">
        <v>195</v>
      </c>
    </row>
    <row r="36" spans="1:19" ht="14.1" customHeight="1">
      <c r="A36" s="96">
        <v>30</v>
      </c>
      <c r="B36" s="94" t="s">
        <v>153</v>
      </c>
      <c r="C36" s="67">
        <f>3680+16440</f>
        <v>20120</v>
      </c>
      <c r="D36" s="67">
        <f>2720+16280+184</f>
        <v>19184</v>
      </c>
      <c r="E36" s="67">
        <f>2680+13440+316</f>
        <v>16436</v>
      </c>
      <c r="F36" s="67">
        <f>2720+14160+375</f>
        <v>17255</v>
      </c>
      <c r="G36" s="67">
        <f>2000+14240+346</f>
        <v>16586</v>
      </c>
      <c r="H36" s="67">
        <f>1640+15840+282</f>
        <v>17762</v>
      </c>
      <c r="I36" s="67">
        <f>2200+16600+321</f>
        <v>19121</v>
      </c>
      <c r="J36" s="67">
        <f>1640+17280+287</f>
        <v>19207</v>
      </c>
      <c r="K36" s="67">
        <f>2120+14400+332</f>
        <v>16852</v>
      </c>
      <c r="L36" s="67">
        <f>2160+17360+302</f>
        <v>19822</v>
      </c>
      <c r="M36" s="67">
        <f>3040+14840+321</f>
        <v>18201</v>
      </c>
      <c r="N36" s="67">
        <f>2920+15280+325</f>
        <v>18525</v>
      </c>
      <c r="O36" s="101">
        <f t="shared" si="0"/>
        <v>219071</v>
      </c>
      <c r="P36" s="67">
        <v>3.01</v>
      </c>
      <c r="Q36" s="67">
        <v>365</v>
      </c>
      <c r="R36" s="101">
        <f t="shared" si="1"/>
        <v>600.19452054794522</v>
      </c>
      <c r="S36" s="15" t="s">
        <v>195</v>
      </c>
    </row>
    <row r="37" spans="1:19" ht="14.1" customHeight="1">
      <c r="A37" s="96">
        <v>31</v>
      </c>
      <c r="B37" s="94" t="s">
        <v>154</v>
      </c>
      <c r="C37" s="67">
        <f>2490+25740</f>
        <v>28230</v>
      </c>
      <c r="D37" s="67">
        <f>2580+29880</f>
        <v>32460</v>
      </c>
      <c r="E37" s="67">
        <f>2033+21477</f>
        <v>23510</v>
      </c>
      <c r="F37" s="67">
        <f>2131+22647</f>
        <v>24778</v>
      </c>
      <c r="G37" s="67">
        <f>1956+22446</f>
        <v>24402</v>
      </c>
      <c r="H37" s="67">
        <f>1440+18540</f>
        <v>19980</v>
      </c>
      <c r="I37" s="67">
        <f>1950+22680</f>
        <v>24630</v>
      </c>
      <c r="J37" s="67">
        <f>1810+23100</f>
        <v>24910</v>
      </c>
      <c r="K37" s="67">
        <f>2120+23190</f>
        <v>25310</v>
      </c>
      <c r="L37" s="67">
        <f>1980+26760</f>
        <v>28740</v>
      </c>
      <c r="M37" s="67">
        <f>2590+25260</f>
        <v>27850</v>
      </c>
      <c r="N37" s="67">
        <f>2450+24300</f>
        <v>26750</v>
      </c>
      <c r="O37" s="101">
        <f t="shared" si="0"/>
        <v>311550</v>
      </c>
      <c r="P37" s="67">
        <v>3.01</v>
      </c>
      <c r="Q37" s="67">
        <v>365</v>
      </c>
      <c r="R37" s="101">
        <f t="shared" si="1"/>
        <v>853.56164383561645</v>
      </c>
      <c r="S37" s="15" t="s">
        <v>195</v>
      </c>
    </row>
    <row r="38" spans="1:19" ht="14.1" customHeight="1">
      <c r="A38" s="96">
        <v>32</v>
      </c>
      <c r="B38" s="94" t="s">
        <v>155</v>
      </c>
      <c r="C38" s="67">
        <f>17460+3920</f>
        <v>21380</v>
      </c>
      <c r="D38" s="67">
        <f>16800+3680</f>
        <v>20480</v>
      </c>
      <c r="E38" s="67">
        <f>15300+3600</f>
        <v>18900</v>
      </c>
      <c r="F38" s="67">
        <f>16200+3840</f>
        <v>20040</v>
      </c>
      <c r="G38" s="67">
        <f>16440+2480</f>
        <v>18920</v>
      </c>
      <c r="H38" s="67">
        <f>18480+2080</f>
        <v>20560</v>
      </c>
      <c r="I38" s="67">
        <f>16620+3120</f>
        <v>19740</v>
      </c>
      <c r="J38" s="67">
        <f>23700+2000</f>
        <v>25700</v>
      </c>
      <c r="K38" s="67">
        <f>13920+2800</f>
        <v>16720</v>
      </c>
      <c r="L38" s="67">
        <f>13260+2400</f>
        <v>15660</v>
      </c>
      <c r="M38" s="67">
        <f>15600+3120</f>
        <v>18720</v>
      </c>
      <c r="N38" s="67">
        <f>15780+3200</f>
        <v>18980</v>
      </c>
      <c r="O38" s="101">
        <f t="shared" si="0"/>
        <v>235800</v>
      </c>
      <c r="P38" s="67">
        <v>2.1</v>
      </c>
      <c r="Q38" s="67">
        <v>365</v>
      </c>
      <c r="R38" s="101">
        <f t="shared" si="1"/>
        <v>646.02739726027403</v>
      </c>
      <c r="S38" s="15" t="s">
        <v>195</v>
      </c>
    </row>
    <row r="39" spans="1:19" ht="14.1" customHeight="1">
      <c r="A39" s="96">
        <v>33</v>
      </c>
      <c r="B39" s="94" t="s">
        <v>156</v>
      </c>
      <c r="C39" s="67">
        <f>1400+17920</f>
        <v>19320</v>
      </c>
      <c r="D39" s="67">
        <f>1760+17440</f>
        <v>19200</v>
      </c>
      <c r="E39" s="67">
        <f>1200+14880</f>
        <v>16080</v>
      </c>
      <c r="F39" s="67">
        <f>1320+16440</f>
        <v>17760</v>
      </c>
      <c r="G39" s="67">
        <f>1320+15000</f>
        <v>16320</v>
      </c>
      <c r="H39" s="67">
        <f>1000+15680</f>
        <v>16680</v>
      </c>
      <c r="I39" s="67">
        <f>1160+17760</f>
        <v>18920</v>
      </c>
      <c r="J39" s="67">
        <f>960+17000</f>
        <v>17960</v>
      </c>
      <c r="K39" s="67">
        <f>1256+15128</f>
        <v>16384</v>
      </c>
      <c r="L39" s="67">
        <f>1624+19032</f>
        <v>20656</v>
      </c>
      <c r="M39" s="67">
        <f>1640+21840</f>
        <v>23480</v>
      </c>
      <c r="N39" s="67">
        <f>1400+17480</f>
        <v>18880</v>
      </c>
      <c r="O39" s="101">
        <f t="shared" si="0"/>
        <v>221640</v>
      </c>
      <c r="P39" s="67">
        <v>2.1</v>
      </c>
      <c r="Q39" s="67">
        <v>365</v>
      </c>
      <c r="R39" s="101">
        <f t="shared" si="1"/>
        <v>607.23287671232879</v>
      </c>
      <c r="S39" s="15" t="s">
        <v>195</v>
      </c>
    </row>
    <row r="40" spans="1:19" ht="14.1" customHeight="1">
      <c r="A40" s="96">
        <v>34</v>
      </c>
      <c r="B40" s="94" t="s">
        <v>157</v>
      </c>
      <c r="C40" s="67">
        <f>1230+18630</f>
        <v>19860</v>
      </c>
      <c r="D40" s="67">
        <f>1095+18000</f>
        <v>19095</v>
      </c>
      <c r="E40" s="67">
        <f>945+14940</f>
        <v>15885</v>
      </c>
      <c r="F40" s="67">
        <f>945+15240</f>
        <v>16185</v>
      </c>
      <c r="G40" s="67">
        <f>825+14040</f>
        <v>14865</v>
      </c>
      <c r="H40" s="67">
        <f>810+14550</f>
        <v>15360</v>
      </c>
      <c r="I40" s="67">
        <f>1035+18570</f>
        <v>19605</v>
      </c>
      <c r="J40" s="67">
        <f>840+13770</f>
        <v>14610</v>
      </c>
      <c r="K40" s="67">
        <f>1083+12744</f>
        <v>13827</v>
      </c>
      <c r="L40" s="67">
        <f>1152+15156</f>
        <v>16308</v>
      </c>
      <c r="M40" s="67">
        <f>1305+15210</f>
        <v>16515</v>
      </c>
      <c r="N40" s="67">
        <f>1350+13860</f>
        <v>15210</v>
      </c>
      <c r="O40" s="101">
        <f t="shared" si="0"/>
        <v>197325</v>
      </c>
      <c r="P40" s="67">
        <v>3.01</v>
      </c>
      <c r="Q40" s="67">
        <v>365</v>
      </c>
      <c r="R40" s="101">
        <f t="shared" si="1"/>
        <v>540.61643835616439</v>
      </c>
      <c r="S40" s="15" t="s">
        <v>195</v>
      </c>
    </row>
    <row r="41" spans="1:19" ht="14.1" customHeight="1">
      <c r="A41" s="96">
        <v>35</v>
      </c>
      <c r="B41" s="94" t="s">
        <v>158</v>
      </c>
      <c r="C41" s="67">
        <f>1700+13680</f>
        <v>15380</v>
      </c>
      <c r="D41" s="67">
        <f>1730+13520</f>
        <v>15250</v>
      </c>
      <c r="E41" s="67">
        <f>1490+10840</f>
        <v>12330</v>
      </c>
      <c r="F41" s="67">
        <f>1630+11480</f>
        <v>13110</v>
      </c>
      <c r="G41" s="67">
        <f>1460+10440</f>
        <v>11900</v>
      </c>
      <c r="H41" s="67">
        <f>1350+11280</f>
        <v>12630</v>
      </c>
      <c r="I41" s="67">
        <f>1630+12880</f>
        <v>14510</v>
      </c>
      <c r="J41" s="67">
        <f>1130+11040</f>
        <v>12170</v>
      </c>
      <c r="K41" s="67">
        <f>1058+10644</f>
        <v>11702</v>
      </c>
      <c r="L41" s="67">
        <f>952+11716</f>
        <v>12668</v>
      </c>
      <c r="M41" s="67">
        <f>1050+12600</f>
        <v>13650</v>
      </c>
      <c r="N41" s="67">
        <f>940+12200</f>
        <v>13140</v>
      </c>
      <c r="O41" s="101">
        <f t="shared" si="0"/>
        <v>158440</v>
      </c>
      <c r="P41" s="67">
        <v>3.01</v>
      </c>
      <c r="Q41" s="67">
        <v>365</v>
      </c>
      <c r="R41" s="101">
        <f t="shared" si="1"/>
        <v>434.08219178082192</v>
      </c>
      <c r="S41" s="15" t="s">
        <v>195</v>
      </c>
    </row>
    <row r="42" spans="1:19" ht="14.1" customHeight="1">
      <c r="A42" s="96">
        <v>36</v>
      </c>
      <c r="B42" s="94" t="s">
        <v>159</v>
      </c>
      <c r="C42" s="67">
        <f>1640+8385</f>
        <v>10025</v>
      </c>
      <c r="D42" s="67">
        <f>1720+8550</f>
        <v>10270</v>
      </c>
      <c r="E42" s="67">
        <f>1600+7035</f>
        <v>8635</v>
      </c>
      <c r="F42" s="67">
        <f>1760+7020</f>
        <v>8780</v>
      </c>
      <c r="G42" s="67">
        <f>840+6525</f>
        <v>7365</v>
      </c>
      <c r="H42" s="67">
        <f>720+7110</f>
        <v>7830</v>
      </c>
      <c r="I42" s="67">
        <f>800+8055</f>
        <v>8855</v>
      </c>
      <c r="J42" s="67">
        <f>720+8085</f>
        <v>8805</v>
      </c>
      <c r="K42" s="67">
        <f>840+6795</f>
        <v>7635</v>
      </c>
      <c r="L42" s="67">
        <f>1160+7560</f>
        <v>8720</v>
      </c>
      <c r="M42" s="67">
        <f>1720+7680</f>
        <v>9400</v>
      </c>
      <c r="N42" s="67">
        <f>1600+7260</f>
        <v>8860</v>
      </c>
      <c r="O42" s="101">
        <f t="shared" si="0"/>
        <v>105180</v>
      </c>
      <c r="P42" s="67">
        <v>3.01</v>
      </c>
      <c r="Q42" s="67">
        <v>365</v>
      </c>
      <c r="R42" s="101">
        <f t="shared" si="1"/>
        <v>288.16438356164383</v>
      </c>
      <c r="S42" s="15" t="s">
        <v>195</v>
      </c>
    </row>
    <row r="43" spans="1:19" ht="14.1" customHeight="1">
      <c r="A43" s="96">
        <v>37</v>
      </c>
      <c r="B43" s="94" t="s">
        <v>160</v>
      </c>
      <c r="C43" s="67">
        <f>1290+16520+1980+16560</f>
        <v>36350</v>
      </c>
      <c r="D43" s="67">
        <f>1190+15760+1310+16200</f>
        <v>34460</v>
      </c>
      <c r="E43" s="67">
        <f>1080+13760+1570+13360</f>
        <v>29770</v>
      </c>
      <c r="F43" s="67">
        <f>1280+14360+1520+14640</f>
        <v>31800</v>
      </c>
      <c r="G43" s="67">
        <f>1060+14360+1340+14320</f>
        <v>31080</v>
      </c>
      <c r="H43" s="67">
        <f>940+13960+1200+14080</f>
        <v>30180</v>
      </c>
      <c r="I43" s="67">
        <f>970+17680+1210+16800</f>
        <v>36660</v>
      </c>
      <c r="J43" s="67">
        <f>880+14120+1170+14280</f>
        <v>30450</v>
      </c>
      <c r="K43" s="67">
        <f>1045+13144+1470+12840</f>
        <v>28499</v>
      </c>
      <c r="L43" s="67">
        <f>1075+15816+1520+14560</f>
        <v>32971</v>
      </c>
      <c r="M43" s="67">
        <f>1180+15840+1670+14640</f>
        <v>33330</v>
      </c>
      <c r="N43" s="67">
        <f>1230+15320+1600+14280</f>
        <v>32430</v>
      </c>
      <c r="O43" s="101">
        <f t="shared" si="0"/>
        <v>387980</v>
      </c>
      <c r="P43" s="67">
        <v>3.01</v>
      </c>
      <c r="Q43" s="67">
        <v>365</v>
      </c>
      <c r="R43" s="101">
        <f t="shared" si="1"/>
        <v>1062.958904109589</v>
      </c>
      <c r="S43" s="15" t="s">
        <v>195</v>
      </c>
    </row>
    <row r="44" spans="1:19" ht="14.1" customHeight="1">
      <c r="A44" s="96">
        <v>38</v>
      </c>
      <c r="B44" s="94" t="s">
        <v>161</v>
      </c>
      <c r="C44" s="67">
        <f>3500+18400+2055+22020</f>
        <v>45975</v>
      </c>
      <c r="D44" s="67">
        <f>3400+23280+1980+22620</f>
        <v>51280</v>
      </c>
      <c r="E44" s="67">
        <f>3090+14560+1770+18360</f>
        <v>37780</v>
      </c>
      <c r="F44" s="67">
        <f>3120+18720+1890+19560</f>
        <v>43290</v>
      </c>
      <c r="G44" s="67">
        <f>2610+16600+1290+18120</f>
        <v>38620</v>
      </c>
      <c r="H44" s="67">
        <f>2600+15200+1215+18720</f>
        <v>37735</v>
      </c>
      <c r="I44" s="67">
        <f>2640+20240+1200+20700</f>
        <v>44780</v>
      </c>
      <c r="J44" s="67">
        <f>2540+22360+1440+29040</f>
        <v>55380</v>
      </c>
      <c r="K44" s="67">
        <f>2587+16300+1440+19080</f>
        <v>39407</v>
      </c>
      <c r="L44" s="67">
        <f>2693+19540+1665+21180</f>
        <v>45078</v>
      </c>
      <c r="M44" s="67">
        <f>3350+15360+2385+16080</f>
        <v>37175</v>
      </c>
      <c r="N44" s="67">
        <f>2120+17560+1950+20160</f>
        <v>41790</v>
      </c>
      <c r="O44" s="101">
        <f t="shared" si="0"/>
        <v>518290</v>
      </c>
      <c r="P44" s="67">
        <v>3.01</v>
      </c>
      <c r="Q44" s="67">
        <v>365</v>
      </c>
      <c r="R44" s="101">
        <f t="shared" si="1"/>
        <v>1419.972602739726</v>
      </c>
      <c r="S44" s="15" t="s">
        <v>195</v>
      </c>
    </row>
    <row r="45" spans="1:19" s="105" customFormat="1" ht="14.1" customHeight="1">
      <c r="A45" s="102">
        <v>39</v>
      </c>
      <c r="B45" s="95" t="s">
        <v>183</v>
      </c>
      <c r="C45" s="103">
        <f>2030+21200+1700+17640</f>
        <v>42570</v>
      </c>
      <c r="D45" s="103">
        <f>1960+24200+1760+18280</f>
        <v>46200</v>
      </c>
      <c r="E45" s="103">
        <f>1990+20120+1320+15600</f>
        <v>39030</v>
      </c>
      <c r="F45" s="103">
        <f>1860+21200+1220+12560</f>
        <v>36840</v>
      </c>
      <c r="G45" s="103">
        <f>1360+13760+940+14760</f>
        <v>30820</v>
      </c>
      <c r="H45" s="103">
        <f>1290+15960+920+11800</f>
        <v>29970</v>
      </c>
      <c r="I45" s="103">
        <f>1520+23600+1160+19080</f>
        <v>45360</v>
      </c>
      <c r="J45" s="103">
        <f>1320+25040+900+20560</f>
        <v>47820</v>
      </c>
      <c r="K45" s="103">
        <v>0</v>
      </c>
      <c r="L45" s="103">
        <f>0</f>
        <v>0</v>
      </c>
      <c r="M45" s="103">
        <v>0</v>
      </c>
      <c r="N45" s="103">
        <v>0</v>
      </c>
      <c r="O45" s="104">
        <f t="shared" si="0"/>
        <v>318610</v>
      </c>
      <c r="P45" s="103">
        <v>3.01</v>
      </c>
      <c r="Q45" s="103">
        <v>243</v>
      </c>
      <c r="R45" s="104">
        <f t="shared" si="1"/>
        <v>1311.1522633744855</v>
      </c>
      <c r="S45" s="15" t="s">
        <v>195</v>
      </c>
    </row>
    <row r="46" spans="1:19" s="105" customFormat="1" ht="14.1" customHeight="1">
      <c r="A46" s="102">
        <v>40</v>
      </c>
      <c r="B46" s="95" t="s">
        <v>162</v>
      </c>
      <c r="C46" s="103">
        <v>0</v>
      </c>
      <c r="D46" s="103">
        <v>0</v>
      </c>
      <c r="E46" s="103">
        <v>0</v>
      </c>
      <c r="F46" s="103">
        <v>0</v>
      </c>
      <c r="G46" s="103">
        <f>6680+7080</f>
        <v>13760</v>
      </c>
      <c r="H46" s="103">
        <f>6440+2320</f>
        <v>8760</v>
      </c>
      <c r="I46" s="103">
        <f>1360+8640</f>
        <v>10000</v>
      </c>
      <c r="J46" s="103">
        <f>5040+6520</f>
        <v>11560</v>
      </c>
      <c r="K46" s="103">
        <f>5200+6480</f>
        <v>11680</v>
      </c>
      <c r="L46" s="103">
        <f>5280+6600</f>
        <v>11880</v>
      </c>
      <c r="M46" s="103">
        <f>5200+6320</f>
        <v>11520</v>
      </c>
      <c r="N46" s="103">
        <f>4800+5600</f>
        <v>10400</v>
      </c>
      <c r="O46" s="104">
        <f t="shared" si="0"/>
        <v>89560</v>
      </c>
      <c r="P46" s="103">
        <v>3.01</v>
      </c>
      <c r="Q46" s="103">
        <v>245</v>
      </c>
      <c r="R46" s="104">
        <f t="shared" si="1"/>
        <v>365.55102040816325</v>
      </c>
      <c r="S46" s="15" t="s">
        <v>195</v>
      </c>
    </row>
    <row r="47" spans="1:19" s="105" customFormat="1" ht="14.1" customHeight="1">
      <c r="A47" s="102">
        <v>41</v>
      </c>
      <c r="B47" s="95" t="s">
        <v>163</v>
      </c>
      <c r="C47" s="103">
        <f>2617+21240</f>
        <v>23857</v>
      </c>
      <c r="D47" s="103">
        <f>2603+27720</f>
        <v>30323</v>
      </c>
      <c r="E47" s="103">
        <f>2400+17760</f>
        <v>20160</v>
      </c>
      <c r="F47" s="103">
        <f>2745+20245</f>
        <v>22990</v>
      </c>
      <c r="G47" s="103">
        <f>2123+17600</f>
        <v>19723</v>
      </c>
      <c r="H47" s="103">
        <f>1969+17200</f>
        <v>19169</v>
      </c>
      <c r="I47" s="103">
        <f>1892+20240</f>
        <v>22132</v>
      </c>
      <c r="J47" s="103">
        <f>1570+25480</f>
        <v>27050</v>
      </c>
      <c r="K47" s="103">
        <f>1989+19920</f>
        <v>21909</v>
      </c>
      <c r="L47" s="103">
        <f>2391+21000</f>
        <v>23391</v>
      </c>
      <c r="M47" s="103">
        <f>1848+20120</f>
        <v>21968</v>
      </c>
      <c r="N47" s="103">
        <f>2766+22760</f>
        <v>25526</v>
      </c>
      <c r="O47" s="104">
        <f t="shared" si="0"/>
        <v>278198</v>
      </c>
      <c r="P47" s="103">
        <v>2.1</v>
      </c>
      <c r="Q47" s="103">
        <v>365</v>
      </c>
      <c r="R47" s="104">
        <f t="shared" si="1"/>
        <v>762.18630136986303</v>
      </c>
      <c r="S47" s="15" t="s">
        <v>195</v>
      </c>
    </row>
    <row r="48" spans="1:19" s="105" customFormat="1" ht="14.1" customHeight="1">
      <c r="A48" s="102">
        <v>42</v>
      </c>
      <c r="B48" s="95" t="s">
        <v>184</v>
      </c>
      <c r="C48" s="103">
        <f>2380+37120</f>
        <v>39500</v>
      </c>
      <c r="D48" s="103">
        <f>2180+35600</f>
        <v>37780</v>
      </c>
      <c r="E48" s="103">
        <f>1880+31920</f>
        <v>33800</v>
      </c>
      <c r="F48" s="103">
        <f>1940+34320+2807</f>
        <v>39067</v>
      </c>
      <c r="G48" s="103">
        <f>1720+31200+2807</f>
        <v>35727</v>
      </c>
      <c r="H48" s="103">
        <f>1500+30480+2807</f>
        <v>34787</v>
      </c>
      <c r="I48" s="103">
        <f>1680+44080</f>
        <v>45760</v>
      </c>
      <c r="J48" s="103">
        <f>1420+37680</f>
        <v>39100</v>
      </c>
      <c r="K48" s="103">
        <v>0</v>
      </c>
      <c r="L48" s="103">
        <v>0</v>
      </c>
      <c r="M48" s="103">
        <v>0</v>
      </c>
      <c r="N48" s="103">
        <v>0</v>
      </c>
      <c r="O48" s="104">
        <f t="shared" si="0"/>
        <v>305521</v>
      </c>
      <c r="P48" s="103">
        <v>2.1</v>
      </c>
      <c r="Q48" s="103">
        <v>243</v>
      </c>
      <c r="R48" s="104">
        <f t="shared" si="1"/>
        <v>1257.2880658436213</v>
      </c>
      <c r="S48" s="15" t="s">
        <v>195</v>
      </c>
    </row>
    <row r="49" spans="1:19" s="105" customFormat="1" ht="14.1" customHeight="1">
      <c r="A49" s="102">
        <v>43</v>
      </c>
      <c r="B49" s="95" t="s">
        <v>185</v>
      </c>
      <c r="C49" s="103">
        <f>1970+27480</f>
        <v>29450</v>
      </c>
      <c r="D49" s="103">
        <f>2040+27600</f>
        <v>29640</v>
      </c>
      <c r="E49" s="103">
        <f>1810+23460</f>
        <v>25270</v>
      </c>
      <c r="F49" s="103">
        <f>1870+24960</f>
        <v>26830</v>
      </c>
      <c r="G49" s="103">
        <f>1660+23460</f>
        <v>25120</v>
      </c>
      <c r="H49" s="103">
        <f>1560+22920</f>
        <v>24480</v>
      </c>
      <c r="I49" s="103">
        <f>1590+32700</f>
        <v>34290</v>
      </c>
      <c r="J49" s="103">
        <f>1450+25800</f>
        <v>27250</v>
      </c>
      <c r="K49" s="103">
        <v>0</v>
      </c>
      <c r="L49" s="103">
        <v>0</v>
      </c>
      <c r="M49" s="103">
        <v>0</v>
      </c>
      <c r="N49" s="103">
        <v>0</v>
      </c>
      <c r="O49" s="104">
        <f t="shared" si="0"/>
        <v>222330</v>
      </c>
      <c r="P49" s="103">
        <v>2.1</v>
      </c>
      <c r="Q49" s="103">
        <v>243</v>
      </c>
      <c r="R49" s="104">
        <f t="shared" si="1"/>
        <v>914.93827160493822</v>
      </c>
      <c r="S49" s="15" t="s">
        <v>195</v>
      </c>
    </row>
    <row r="50" spans="1:19" s="105" customFormat="1" ht="14.1" customHeight="1">
      <c r="A50" s="102">
        <v>44</v>
      </c>
      <c r="B50" s="95" t="s">
        <v>164</v>
      </c>
      <c r="C50" s="103">
        <f>13290+12240+4755</f>
        <v>30285</v>
      </c>
      <c r="D50" s="103">
        <f>14130+13200+4695</f>
        <v>32025</v>
      </c>
      <c r="E50" s="103">
        <f>9570+9240+3525</f>
        <v>22335</v>
      </c>
      <c r="F50" s="103">
        <f>11190+10080+4080</f>
        <v>25350</v>
      </c>
      <c r="G50" s="103">
        <f>11430+11790+3495</f>
        <v>26715</v>
      </c>
      <c r="H50" s="103">
        <f>11400+11550+3150</f>
        <v>26100</v>
      </c>
      <c r="I50" s="103">
        <f>12720+10980+3255</f>
        <v>26955</v>
      </c>
      <c r="J50" s="103">
        <f>13530+11820+2910</f>
        <v>28260</v>
      </c>
      <c r="K50" s="103">
        <f>12240+11520+3630</f>
        <v>27390</v>
      </c>
      <c r="L50" s="103">
        <f>12330+12270+3870</f>
        <v>28470</v>
      </c>
      <c r="M50" s="103">
        <f>12810+12540+4695</f>
        <v>30045</v>
      </c>
      <c r="N50" s="103">
        <f>14580+13470+4980</f>
        <v>33030</v>
      </c>
      <c r="O50" s="104">
        <f t="shared" si="0"/>
        <v>336960</v>
      </c>
      <c r="P50" s="103">
        <v>3.01</v>
      </c>
      <c r="Q50" s="103">
        <v>365</v>
      </c>
      <c r="R50" s="104">
        <f t="shared" si="1"/>
        <v>923.17808219178085</v>
      </c>
      <c r="S50" s="15" t="s">
        <v>195</v>
      </c>
    </row>
    <row r="51" spans="1:19" s="105" customFormat="1" ht="14.1" customHeight="1">
      <c r="A51" s="102">
        <v>45</v>
      </c>
      <c r="B51" s="95" t="s">
        <v>165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f>5680+476</f>
        <v>6156</v>
      </c>
      <c r="N51" s="103">
        <f>5680+460</f>
        <v>6140</v>
      </c>
      <c r="O51" s="104">
        <f t="shared" si="0"/>
        <v>12296</v>
      </c>
      <c r="P51" s="103">
        <v>3.01</v>
      </c>
      <c r="Q51" s="103">
        <v>61</v>
      </c>
      <c r="R51" s="104">
        <f t="shared" si="1"/>
        <v>201.57377049180329</v>
      </c>
      <c r="S51" s="15" t="s">
        <v>195</v>
      </c>
    </row>
    <row r="52" spans="1:19" s="105" customFormat="1" ht="14.1" customHeight="1">
      <c r="A52" s="102">
        <v>46</v>
      </c>
      <c r="B52" s="95" t="s">
        <v>166</v>
      </c>
      <c r="C52" s="103">
        <f>740+6900</f>
        <v>7640</v>
      </c>
      <c r="D52" s="103">
        <f>823+7410</f>
        <v>8233</v>
      </c>
      <c r="E52" s="103">
        <f>682+4740</f>
        <v>5422</v>
      </c>
      <c r="F52" s="103">
        <f>674+5460</f>
        <v>6134</v>
      </c>
      <c r="G52" s="103">
        <f>584+4410</f>
        <v>4994</v>
      </c>
      <c r="H52" s="103">
        <f>445+3900</f>
        <v>4345</v>
      </c>
      <c r="I52" s="103">
        <f>383+5430</f>
        <v>5813</v>
      </c>
      <c r="J52" s="103">
        <f>464+4890</f>
        <v>5354</v>
      </c>
      <c r="K52" s="103">
        <f>501+4680</f>
        <v>5181</v>
      </c>
      <c r="L52" s="103">
        <f>614+6360</f>
        <v>6974</v>
      </c>
      <c r="M52" s="103">
        <f>799+6090</f>
        <v>6889</v>
      </c>
      <c r="N52" s="103">
        <f>768+6300</f>
        <v>7068</v>
      </c>
      <c r="O52" s="104">
        <f t="shared" si="0"/>
        <v>74047</v>
      </c>
      <c r="P52" s="103">
        <v>3.01</v>
      </c>
      <c r="Q52" s="103">
        <v>365</v>
      </c>
      <c r="R52" s="104">
        <f t="shared" si="1"/>
        <v>202.86849315068494</v>
      </c>
      <c r="S52" s="15" t="s">
        <v>195</v>
      </c>
    </row>
    <row r="53" spans="1:19" s="105" customFormat="1" ht="14.1" customHeight="1">
      <c r="A53" s="102">
        <v>47</v>
      </c>
      <c r="B53" s="95" t="s">
        <v>167</v>
      </c>
      <c r="C53" s="103">
        <f>934+1100</f>
        <v>2034</v>
      </c>
      <c r="D53" s="103">
        <f>915+1320</f>
        <v>2235</v>
      </c>
      <c r="E53" s="103">
        <f>1181+940</f>
        <v>2121</v>
      </c>
      <c r="F53" s="103">
        <f>1195+1040</f>
        <v>2235</v>
      </c>
      <c r="G53" s="103">
        <f>1229+1180</f>
        <v>2409</v>
      </c>
      <c r="H53" s="103">
        <f>918+1540</f>
        <v>2458</v>
      </c>
      <c r="I53" s="103">
        <f>880+1720</f>
        <v>2600</v>
      </c>
      <c r="J53" s="103">
        <f>950+1880</f>
        <v>2830</v>
      </c>
      <c r="K53" s="103">
        <f>1003+1660</f>
        <v>2663</v>
      </c>
      <c r="L53" s="103">
        <f>1149+2260</f>
        <v>3409</v>
      </c>
      <c r="M53" s="103">
        <f>1282+2000</f>
        <v>3282</v>
      </c>
      <c r="N53" s="103">
        <f>1224+1920</f>
        <v>3144</v>
      </c>
      <c r="O53" s="104">
        <f t="shared" si="0"/>
        <v>31420</v>
      </c>
      <c r="P53" s="103">
        <v>2.1</v>
      </c>
      <c r="Q53" s="103">
        <v>365</v>
      </c>
      <c r="R53" s="104">
        <f t="shared" si="1"/>
        <v>86.082191780821915</v>
      </c>
      <c r="S53" s="15" t="s">
        <v>195</v>
      </c>
    </row>
    <row r="54" spans="1:19" s="113" customFormat="1" ht="14.1" customHeight="1">
      <c r="A54" s="108">
        <v>48</v>
      </c>
      <c r="B54" s="109" t="s">
        <v>168</v>
      </c>
      <c r="C54" s="110">
        <f>4530+4620+2629</f>
        <v>11779</v>
      </c>
      <c r="D54" s="110">
        <f>4590+4200+2170</f>
        <v>10960</v>
      </c>
      <c r="E54" s="110">
        <f>3960+3690+2057</f>
        <v>9707</v>
      </c>
      <c r="F54" s="110">
        <f>3870+3930+2102</f>
        <v>9902</v>
      </c>
      <c r="G54" s="110">
        <f>3270+3270+1333</f>
        <v>7873</v>
      </c>
      <c r="H54" s="110">
        <f>3150+3360+1014</f>
        <v>7524</v>
      </c>
      <c r="I54" s="110">
        <f>3990+4680+1059</f>
        <v>9729</v>
      </c>
      <c r="J54" s="110">
        <f>4080+3780+1115</f>
        <v>8975</v>
      </c>
      <c r="K54" s="110">
        <f>3750+3840+1276</f>
        <v>8866</v>
      </c>
      <c r="L54" s="110">
        <f>5190+4410+1653</f>
        <v>11253</v>
      </c>
      <c r="M54" s="110">
        <f>4860+4770+2304</f>
        <v>11934</v>
      </c>
      <c r="N54" s="110">
        <f>4620+4560+2384</f>
        <v>11564</v>
      </c>
      <c r="O54" s="111">
        <f t="shared" si="0"/>
        <v>120066</v>
      </c>
      <c r="P54" s="110">
        <v>2.1</v>
      </c>
      <c r="Q54" s="110">
        <v>365</v>
      </c>
      <c r="R54" s="111">
        <f t="shared" si="1"/>
        <v>328.94794520547947</v>
      </c>
      <c r="S54" s="112" t="s">
        <v>195</v>
      </c>
    </row>
    <row r="55" spans="1:19" s="105" customFormat="1" ht="14.1" customHeight="1">
      <c r="A55" s="102">
        <v>49</v>
      </c>
      <c r="B55" s="95" t="s">
        <v>169</v>
      </c>
      <c r="C55" s="103">
        <f>3960+7760+1995</f>
        <v>13715</v>
      </c>
      <c r="D55" s="103">
        <f>4800+8120+1980</f>
        <v>14900</v>
      </c>
      <c r="E55" s="103">
        <f>3080+5960+2025</f>
        <v>11065</v>
      </c>
      <c r="F55" s="103">
        <f>3520+6960+2295</f>
        <v>12775</v>
      </c>
      <c r="G55" s="103">
        <f>3120+5800+1590</f>
        <v>10510</v>
      </c>
      <c r="H55" s="103">
        <f>3160+5440+1710</f>
        <v>10310</v>
      </c>
      <c r="I55" s="103">
        <f>3640+7240+1890</f>
        <v>12770</v>
      </c>
      <c r="J55" s="103">
        <f>3520+6440+1935</f>
        <v>11895</v>
      </c>
      <c r="K55" s="103">
        <f>3960+6680+1860</f>
        <v>12500</v>
      </c>
      <c r="L55" s="103">
        <f>6120+9800+2250</f>
        <v>18170</v>
      </c>
      <c r="M55" s="103">
        <f>5640+10880+2130</f>
        <v>18650</v>
      </c>
      <c r="N55" s="103">
        <f>6280+9800+2040</f>
        <v>18120</v>
      </c>
      <c r="O55" s="104">
        <f t="shared" si="0"/>
        <v>165380</v>
      </c>
      <c r="P55" s="103">
        <v>2.1</v>
      </c>
      <c r="Q55" s="103">
        <v>365</v>
      </c>
      <c r="R55" s="104">
        <f t="shared" si="1"/>
        <v>453.09589041095893</v>
      </c>
      <c r="S55" s="15" t="s">
        <v>195</v>
      </c>
    </row>
    <row r="56" spans="1:19" s="105" customFormat="1" ht="14.1" customHeight="1">
      <c r="A56" s="102">
        <v>50</v>
      </c>
      <c r="B56" s="95" t="s">
        <v>170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f>190+1205</f>
        <v>1395</v>
      </c>
      <c r="J56" s="103">
        <f>187+1274</f>
        <v>1461</v>
      </c>
      <c r="K56" s="103">
        <f>307+1099</f>
        <v>1406</v>
      </c>
      <c r="L56" s="103">
        <f>477+1203</f>
        <v>1680</v>
      </c>
      <c r="M56" s="103">
        <f>664+1205</f>
        <v>1869</v>
      </c>
      <c r="N56" s="103">
        <f>638+1281</f>
        <v>1919</v>
      </c>
      <c r="O56" s="104">
        <f t="shared" si="0"/>
        <v>9730</v>
      </c>
      <c r="P56" s="103">
        <v>2.1</v>
      </c>
      <c r="Q56" s="103">
        <v>184</v>
      </c>
      <c r="R56" s="104">
        <f t="shared" si="1"/>
        <v>52.880434782608695</v>
      </c>
      <c r="S56" s="15" t="s">
        <v>195</v>
      </c>
    </row>
    <row r="57" spans="1:19" s="105" customFormat="1" ht="14.1" customHeight="1">
      <c r="A57" s="106"/>
      <c r="B57" s="106" t="s">
        <v>191</v>
      </c>
      <c r="C57" s="106">
        <f t="shared" ref="C57:R57" si="2">SUM(C7:C56)</f>
        <v>1376595.2</v>
      </c>
      <c r="D57" s="106">
        <f t="shared" si="2"/>
        <v>1410481.9</v>
      </c>
      <c r="E57" s="106">
        <f t="shared" si="2"/>
        <v>1138789.1299999999</v>
      </c>
      <c r="F57" s="106">
        <f t="shared" si="2"/>
        <v>1207431.3700000001</v>
      </c>
      <c r="G57" s="106">
        <f t="shared" si="2"/>
        <v>1149186.3</v>
      </c>
      <c r="H57" s="106">
        <f t="shared" si="2"/>
        <v>1081273.8999999999</v>
      </c>
      <c r="I57" s="106">
        <f t="shared" si="2"/>
        <v>1235283.2</v>
      </c>
      <c r="J57" s="106">
        <f t="shared" si="2"/>
        <v>1286454.3999999999</v>
      </c>
      <c r="K57" s="106">
        <f t="shared" si="2"/>
        <v>1073568.5</v>
      </c>
      <c r="L57" s="106">
        <f t="shared" si="2"/>
        <v>1250157.7</v>
      </c>
      <c r="M57" s="106">
        <f t="shared" si="2"/>
        <v>1209369.2999999998</v>
      </c>
      <c r="N57" s="106">
        <f t="shared" si="2"/>
        <v>1223164</v>
      </c>
      <c r="O57" s="104">
        <f>SUM(O7:O56)</f>
        <v>14641754.899999999</v>
      </c>
      <c r="P57" s="106"/>
      <c r="Q57" s="106"/>
      <c r="R57" s="106">
        <f t="shared" si="2"/>
        <v>41592.994511437115</v>
      </c>
      <c r="S57" s="15" t="s">
        <v>195</v>
      </c>
    </row>
    <row r="59" spans="1:19">
      <c r="A59" t="s">
        <v>123</v>
      </c>
      <c r="Q59" t="s">
        <v>124</v>
      </c>
    </row>
  </sheetData>
  <mergeCells count="20">
    <mergeCell ref="J4:J6"/>
    <mergeCell ref="S4:S6"/>
    <mergeCell ref="Q4:Q6"/>
    <mergeCell ref="R4:R6"/>
    <mergeCell ref="A1:R2"/>
    <mergeCell ref="K4:K6"/>
    <mergeCell ref="L4:L6"/>
    <mergeCell ref="M4:M6"/>
    <mergeCell ref="N4:N6"/>
    <mergeCell ref="B4:B6"/>
    <mergeCell ref="A4:A6"/>
    <mergeCell ref="P4:P6"/>
    <mergeCell ref="O4:O6"/>
    <mergeCell ref="C4:C6"/>
    <mergeCell ref="D4:D6"/>
    <mergeCell ref="E4:E6"/>
    <mergeCell ref="F4:F6"/>
    <mergeCell ref="G4:G6"/>
    <mergeCell ref="H4:H6"/>
    <mergeCell ref="I4:I6"/>
  </mergeCells>
  <pageMargins left="1.299212598425197" right="0.70866141732283472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1"/>
  <sheetViews>
    <sheetView workbookViewId="0">
      <selection activeCell="F17" sqref="F17"/>
    </sheetView>
  </sheetViews>
  <sheetFormatPr defaultRowHeight="15"/>
  <cols>
    <col min="1" max="1" width="2.85546875" customWidth="1"/>
    <col min="2" max="2" width="11.28515625" customWidth="1"/>
    <col min="3" max="3" width="8.7109375" customWidth="1"/>
    <col min="4" max="4" width="8.5703125" customWidth="1"/>
    <col min="5" max="5" width="8.42578125" customWidth="1"/>
    <col min="6" max="6" width="9.5703125" customWidth="1"/>
    <col min="7" max="7" width="9.28515625" customWidth="1"/>
    <col min="8" max="8" width="8.28515625" customWidth="1"/>
    <col min="9" max="10" width="7.85546875" customWidth="1"/>
    <col min="11" max="11" width="8.140625" customWidth="1"/>
    <col min="12" max="12" width="8.7109375" customWidth="1"/>
    <col min="14" max="14" width="8.5703125" customWidth="1"/>
    <col min="15" max="15" width="9.42578125" customWidth="1"/>
  </cols>
  <sheetData>
    <row r="2" spans="1:15">
      <c r="A2" s="128" t="s">
        <v>189</v>
      </c>
      <c r="B2" s="128" t="s">
        <v>188</v>
      </c>
      <c r="C2" s="128" t="s">
        <v>171</v>
      </c>
      <c r="D2" s="128" t="s">
        <v>172</v>
      </c>
      <c r="E2" s="128" t="s">
        <v>173</v>
      </c>
      <c r="F2" s="128" t="s">
        <v>174</v>
      </c>
      <c r="G2" s="128" t="s">
        <v>175</v>
      </c>
      <c r="H2" s="128" t="s">
        <v>176</v>
      </c>
      <c r="I2" s="128" t="s">
        <v>177</v>
      </c>
      <c r="J2" s="128" t="s">
        <v>178</v>
      </c>
      <c r="K2" s="128" t="s">
        <v>179</v>
      </c>
      <c r="L2" s="128" t="s">
        <v>180</v>
      </c>
      <c r="M2" s="128" t="s">
        <v>181</v>
      </c>
      <c r="N2" s="128" t="s">
        <v>182</v>
      </c>
      <c r="O2" s="118" t="s">
        <v>192</v>
      </c>
    </row>
    <row r="3" spans="1:1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19"/>
    </row>
    <row r="4" spans="1:1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20"/>
    </row>
    <row r="5" spans="1:15" ht="21.75" customHeight="1">
      <c r="A5" s="102">
        <v>1</v>
      </c>
      <c r="B5" s="116" t="s">
        <v>168</v>
      </c>
      <c r="C5" s="103">
        <f>4530+4620+2629</f>
        <v>11779</v>
      </c>
      <c r="D5" s="103">
        <f>4590+4200+2170</f>
        <v>10960</v>
      </c>
      <c r="E5" s="103">
        <f>3960+3690+2057</f>
        <v>9707</v>
      </c>
      <c r="F5" s="103">
        <f>3870+3930+2102</f>
        <v>9902</v>
      </c>
      <c r="G5" s="103">
        <f>3270+3270+1333</f>
        <v>7873</v>
      </c>
      <c r="H5" s="103">
        <f>3150+3360+1014</f>
        <v>7524</v>
      </c>
      <c r="I5" s="103">
        <f>3990+4680+1059</f>
        <v>9729</v>
      </c>
      <c r="J5" s="103">
        <f>4080+3780+1115</f>
        <v>8975</v>
      </c>
      <c r="K5" s="103">
        <f>3750+3840+1276</f>
        <v>8866</v>
      </c>
      <c r="L5" s="103">
        <f>5190+4410+1653</f>
        <v>11253</v>
      </c>
      <c r="M5" s="103">
        <f>4860+4770+2304</f>
        <v>11934</v>
      </c>
      <c r="N5" s="103">
        <f>4620+4560+2384</f>
        <v>11564</v>
      </c>
      <c r="O5" s="104">
        <f t="shared" ref="O5" si="0">C5+D5+E5+F5+G5+H5+I5+J5+K5+L5+M5+N5</f>
        <v>120066</v>
      </c>
    </row>
    <row r="7" spans="1:15">
      <c r="A7" s="128" t="s">
        <v>189</v>
      </c>
      <c r="B7" s="128" t="s">
        <v>188</v>
      </c>
      <c r="C7" s="131" t="s">
        <v>171</v>
      </c>
      <c r="D7" s="131" t="s">
        <v>172</v>
      </c>
      <c r="E7" s="131" t="s">
        <v>173</v>
      </c>
      <c r="F7" s="132" t="s">
        <v>196</v>
      </c>
      <c r="G7" s="133" t="s">
        <v>197</v>
      </c>
      <c r="H7" s="115"/>
      <c r="I7" s="115"/>
      <c r="J7" s="115"/>
      <c r="K7" s="115"/>
      <c r="L7" s="115"/>
      <c r="M7" s="115"/>
      <c r="N7" s="115"/>
    </row>
    <row r="8" spans="1:15">
      <c r="A8" s="129"/>
      <c r="B8" s="129"/>
      <c r="C8" s="131"/>
      <c r="D8" s="131"/>
      <c r="E8" s="131"/>
      <c r="F8" s="132"/>
      <c r="G8" s="133"/>
      <c r="H8" s="115"/>
      <c r="I8" s="115"/>
      <c r="J8" s="115"/>
      <c r="K8" s="115"/>
      <c r="L8" s="115"/>
      <c r="M8" s="115"/>
      <c r="N8" s="115"/>
    </row>
    <row r="9" spans="1:15">
      <c r="A9" s="130"/>
      <c r="B9" s="130"/>
      <c r="C9" s="131"/>
      <c r="D9" s="131"/>
      <c r="E9" s="131"/>
      <c r="F9" s="132"/>
      <c r="G9" s="133"/>
      <c r="H9" s="115"/>
      <c r="I9" s="115"/>
      <c r="J9" s="115"/>
      <c r="K9" s="115"/>
      <c r="L9" s="115"/>
      <c r="M9" s="115"/>
      <c r="N9" s="115"/>
    </row>
    <row r="10" spans="1:15" ht="27" customHeight="1">
      <c r="A10" s="102">
        <v>1</v>
      </c>
      <c r="B10" s="116" t="s">
        <v>168</v>
      </c>
      <c r="C10" s="103">
        <f>4320+5100+2341</f>
        <v>11761</v>
      </c>
      <c r="D10" s="103">
        <f>5190+5130+2437</f>
        <v>12757</v>
      </c>
      <c r="E10" s="103">
        <f>4860+4590+2400</f>
        <v>11850</v>
      </c>
      <c r="F10" s="104">
        <f>C10+D10+E10</f>
        <v>36368</v>
      </c>
      <c r="G10" s="104">
        <f>O5+F10</f>
        <v>156434</v>
      </c>
      <c r="H10" s="114"/>
      <c r="I10" s="114"/>
      <c r="J10" s="114"/>
      <c r="K10" s="114"/>
      <c r="L10" s="114"/>
      <c r="M10" s="114"/>
      <c r="N10" s="114"/>
    </row>
    <row r="11" spans="1:15">
      <c r="G11" s="105"/>
      <c r="H11" s="105"/>
      <c r="I11" s="105"/>
      <c r="J11" s="105"/>
      <c r="K11" s="105"/>
      <c r="L11" s="105"/>
      <c r="M11" s="105"/>
      <c r="N11" s="105"/>
    </row>
  </sheetData>
  <mergeCells count="22">
    <mergeCell ref="H2:H4"/>
    <mergeCell ref="C2:C4"/>
    <mergeCell ref="D2:D4"/>
    <mergeCell ref="E2:E4"/>
    <mergeCell ref="F2:F4"/>
    <mergeCell ref="G2:G4"/>
    <mergeCell ref="F7:F9"/>
    <mergeCell ref="G7:G9"/>
    <mergeCell ref="O2:O4"/>
    <mergeCell ref="A7:A9"/>
    <mergeCell ref="B7:B9"/>
    <mergeCell ref="C7:C9"/>
    <mergeCell ref="D7:D9"/>
    <mergeCell ref="E7:E9"/>
    <mergeCell ref="I2:I4"/>
    <mergeCell ref="J2:J4"/>
    <mergeCell ref="K2:K4"/>
    <mergeCell ref="L2:L4"/>
    <mergeCell ref="M2:M4"/>
    <mergeCell ref="N2:N4"/>
    <mergeCell ref="A2:A4"/>
    <mergeCell ref="B2:B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за 2014г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2015-08-27T11:45:01Z</dcterms:modified>
</cp:coreProperties>
</file>