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694" activeTab="3"/>
  </bookViews>
  <sheets>
    <sheet name="прил.1" sheetId="51" r:id="rId1"/>
    <sheet name="прил.2" sheetId="52" r:id="rId2"/>
    <sheet name="прил.3" sheetId="53" r:id="rId3"/>
    <sheet name="прил.4" sheetId="54" r:id="rId4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  <definedName name="_xlnm.Print_Titles" localSheetId="3">прил.4!$6:$10</definedName>
    <definedName name="_xlnm.Print_Area" localSheetId="3">прил.4!$A$1:$X$166</definedName>
  </definedNames>
  <calcPr calcId="125725"/>
</workbook>
</file>

<file path=xl/calcChain.xml><?xml version="1.0" encoding="utf-8"?>
<calcChain xmlns="http://schemas.openxmlformats.org/spreadsheetml/2006/main">
  <c r="P160" i="54"/>
  <c r="H13" i="53"/>
  <c r="H15"/>
  <c r="G15"/>
  <c r="G21" i="52"/>
  <c r="N162" i="54"/>
  <c r="N161"/>
  <c r="V160"/>
  <c r="U160"/>
  <c r="T160"/>
  <c r="O160"/>
  <c r="N160"/>
  <c r="I160"/>
  <c r="G160"/>
  <c r="E160"/>
  <c r="D160"/>
  <c r="C160"/>
  <c r="G159"/>
  <c r="H159" s="1"/>
  <c r="F159"/>
  <c r="G158"/>
  <c r="H158" s="1"/>
  <c r="F158"/>
  <c r="G157"/>
  <c r="I157" s="1"/>
  <c r="J157" s="1"/>
  <c r="F157"/>
  <c r="G156"/>
  <c r="I156" s="1"/>
  <c r="J156" s="1"/>
  <c r="F156"/>
  <c r="G155"/>
  <c r="H155" s="1"/>
  <c r="F155"/>
  <c r="G154"/>
  <c r="H154" s="1"/>
  <c r="F154"/>
  <c r="G153"/>
  <c r="I153" s="1"/>
  <c r="J153" s="1"/>
  <c r="F153"/>
  <c r="E152"/>
  <c r="F152" s="1"/>
  <c r="E151"/>
  <c r="I151" s="1"/>
  <c r="J151" s="1"/>
  <c r="G148"/>
  <c r="H148" s="1"/>
  <c r="F148"/>
  <c r="G145"/>
  <c r="H145" s="1"/>
  <c r="F145"/>
  <c r="G144"/>
  <c r="H144" s="1"/>
  <c r="F144"/>
  <c r="E143"/>
  <c r="I143" s="1"/>
  <c r="J143" s="1"/>
  <c r="E142"/>
  <c r="G142" s="1"/>
  <c r="H142" s="1"/>
  <c r="E141"/>
  <c r="I141" s="1"/>
  <c r="J141" s="1"/>
  <c r="G138"/>
  <c r="H138" s="1"/>
  <c r="F138"/>
  <c r="E132"/>
  <c r="I132" s="1"/>
  <c r="J132" s="1"/>
  <c r="G131"/>
  <c r="H131" s="1"/>
  <c r="F131"/>
  <c r="E130"/>
  <c r="G130" s="1"/>
  <c r="H130" s="1"/>
  <c r="E128"/>
  <c r="I128" s="1"/>
  <c r="J128" s="1"/>
  <c r="E126"/>
  <c r="G126" s="1"/>
  <c r="H126" s="1"/>
  <c r="E125"/>
  <c r="I125" s="1"/>
  <c r="J125" s="1"/>
  <c r="E122"/>
  <c r="G122" s="1"/>
  <c r="H122" s="1"/>
  <c r="E114"/>
  <c r="I114" s="1"/>
  <c r="J114" s="1"/>
  <c r="I111"/>
  <c r="J111" s="1"/>
  <c r="G111"/>
  <c r="H111" s="1"/>
  <c r="F111"/>
  <c r="I110"/>
  <c r="J110" s="1"/>
  <c r="G110"/>
  <c r="H110" s="1"/>
  <c r="F110"/>
  <c r="F108"/>
  <c r="E107"/>
  <c r="F107" s="1"/>
  <c r="E106"/>
  <c r="I106" s="1"/>
  <c r="J106" s="1"/>
  <c r="E105"/>
  <c r="F105" s="1"/>
  <c r="E103"/>
  <c r="I103" s="1"/>
  <c r="J103" s="1"/>
  <c r="E102"/>
  <c r="F102" s="1"/>
  <c r="E101"/>
  <c r="I101" s="1"/>
  <c r="J101" s="1"/>
  <c r="E100"/>
  <c r="F100" s="1"/>
  <c r="G97"/>
  <c r="H97" s="1"/>
  <c r="F97"/>
  <c r="G93"/>
  <c r="I93" s="1"/>
  <c r="J93" s="1"/>
  <c r="F93"/>
  <c r="E92"/>
  <c r="F92" s="1"/>
  <c r="G89"/>
  <c r="H89" s="1"/>
  <c r="F89"/>
  <c r="E87"/>
  <c r="I87" s="1"/>
  <c r="J87" s="1"/>
  <c r="E86"/>
  <c r="G86" s="1"/>
  <c r="H86" s="1"/>
  <c r="E83"/>
  <c r="I83" s="1"/>
  <c r="J83" s="1"/>
  <c r="I82"/>
  <c r="J82" s="1"/>
  <c r="G82"/>
  <c r="H82" s="1"/>
  <c r="F82"/>
  <c r="G78"/>
  <c r="H78" s="1"/>
  <c r="F78"/>
  <c r="E73"/>
  <c r="F73" s="1"/>
  <c r="E72"/>
  <c r="G72" s="1"/>
  <c r="H72" s="1"/>
  <c r="E71"/>
  <c r="I71" s="1"/>
  <c r="J71" s="1"/>
  <c r="E69"/>
  <c r="G69" s="1"/>
  <c r="H69" s="1"/>
  <c r="E68"/>
  <c r="I68" s="1"/>
  <c r="J68" s="1"/>
  <c r="E67"/>
  <c r="G67" s="1"/>
  <c r="H67" s="1"/>
  <c r="E66"/>
  <c r="F66" s="1"/>
  <c r="E65"/>
  <c r="G65" s="1"/>
  <c r="G61"/>
  <c r="I61" s="1"/>
  <c r="J61" s="1"/>
  <c r="F61"/>
  <c r="E60"/>
  <c r="F60" s="1"/>
  <c r="E59"/>
  <c r="I59" s="1"/>
  <c r="J59" s="1"/>
  <c r="E58"/>
  <c r="F58" s="1"/>
  <c r="E57"/>
  <c r="I57" s="1"/>
  <c r="J57" s="1"/>
  <c r="E56"/>
  <c r="F56" s="1"/>
  <c r="E53"/>
  <c r="I53" s="1"/>
  <c r="J53" s="1"/>
  <c r="E52"/>
  <c r="F52" s="1"/>
  <c r="E51"/>
  <c r="I51" s="1"/>
  <c r="J51" s="1"/>
  <c r="E50"/>
  <c r="F50" s="1"/>
  <c r="E49"/>
  <c r="I49" s="1"/>
  <c r="J49" s="1"/>
  <c r="E48"/>
  <c r="F48" s="1"/>
  <c r="E47"/>
  <c r="I47" s="1"/>
  <c r="J47" s="1"/>
  <c r="E46"/>
  <c r="F46" s="1"/>
  <c r="E45"/>
  <c r="F45" s="1"/>
  <c r="I44"/>
  <c r="J44" s="1"/>
  <c r="G44"/>
  <c r="H44" s="1"/>
  <c r="F44"/>
  <c r="F43"/>
  <c r="E43"/>
  <c r="G43" s="1"/>
  <c r="H43" s="1"/>
  <c r="E41"/>
  <c r="I41" s="1"/>
  <c r="J41" s="1"/>
  <c r="E40"/>
  <c r="G40" s="1"/>
  <c r="H40" s="1"/>
  <c r="E39"/>
  <c r="I39" s="1"/>
  <c r="J39" s="1"/>
  <c r="E36"/>
  <c r="G36" s="1"/>
  <c r="H36" s="1"/>
  <c r="G33"/>
  <c r="H33" s="1"/>
  <c r="F33"/>
  <c r="E33"/>
  <c r="I33" s="1"/>
  <c r="J33" s="1"/>
  <c r="I30"/>
  <c r="J30" s="1"/>
  <c r="G30"/>
  <c r="H30" s="1"/>
  <c r="F30"/>
  <c r="E27"/>
  <c r="I27" s="1"/>
  <c r="J27" s="1"/>
  <c r="I25"/>
  <c r="J25" s="1"/>
  <c r="G25"/>
  <c r="H25" s="1"/>
  <c r="F25"/>
  <c r="G12"/>
  <c r="H12" s="1"/>
  <c r="F12"/>
  <c r="J30" i="53"/>
  <c r="J29" s="1"/>
  <c r="I30"/>
  <c r="I29" s="1"/>
  <c r="F79" i="52"/>
  <c r="D79" s="1"/>
  <c r="D76" s="1"/>
  <c r="I21"/>
  <c r="J21"/>
  <c r="K21"/>
  <c r="J76"/>
  <c r="I20" i="53"/>
  <c r="J22"/>
  <c r="J20"/>
  <c r="J17" s="1"/>
  <c r="J42"/>
  <c r="I42"/>
  <c r="I15" l="1"/>
  <c r="G41" i="54"/>
  <c r="H41" s="1"/>
  <c r="G66"/>
  <c r="I66" s="1"/>
  <c r="J66" s="1"/>
  <c r="G87"/>
  <c r="H87" s="1"/>
  <c r="I131"/>
  <c r="J131" s="1"/>
  <c r="G143"/>
  <c r="H143" s="1"/>
  <c r="I148"/>
  <c r="J148" s="1"/>
  <c r="F27"/>
  <c r="F36"/>
  <c r="F41"/>
  <c r="G68"/>
  <c r="H68" s="1"/>
  <c r="G128"/>
  <c r="H128" s="1"/>
  <c r="G151"/>
  <c r="H151" s="1"/>
  <c r="I155"/>
  <c r="J155" s="1"/>
  <c r="G132"/>
  <c r="H132" s="1"/>
  <c r="F151"/>
  <c r="G39"/>
  <c r="H39" s="1"/>
  <c r="G45"/>
  <c r="H45" s="1"/>
  <c r="G47"/>
  <c r="H47" s="1"/>
  <c r="G49"/>
  <c r="H49" s="1"/>
  <c r="G51"/>
  <c r="H51" s="1"/>
  <c r="G53"/>
  <c r="H53" s="1"/>
  <c r="G57"/>
  <c r="H57" s="1"/>
  <c r="G59"/>
  <c r="H59" s="1"/>
  <c r="G71"/>
  <c r="H71" s="1"/>
  <c r="G101"/>
  <c r="H101" s="1"/>
  <c r="G103"/>
  <c r="H103" s="1"/>
  <c r="G106"/>
  <c r="H106" s="1"/>
  <c r="F132"/>
  <c r="I138"/>
  <c r="J138" s="1"/>
  <c r="H156"/>
  <c r="J160"/>
  <c r="I12"/>
  <c r="J12" s="1"/>
  <c r="G27"/>
  <c r="H27" s="1"/>
  <c r="F39"/>
  <c r="F40"/>
  <c r="F47"/>
  <c r="F49"/>
  <c r="F51"/>
  <c r="F53"/>
  <c r="F57"/>
  <c r="F59"/>
  <c r="G73"/>
  <c r="I73" s="1"/>
  <c r="J73" s="1"/>
  <c r="F101"/>
  <c r="F103"/>
  <c r="F106"/>
  <c r="G114"/>
  <c r="H114" s="1"/>
  <c r="H160"/>
  <c r="G83"/>
  <c r="H83" s="1"/>
  <c r="G125"/>
  <c r="H125" s="1"/>
  <c r="G141"/>
  <c r="H141" s="1"/>
  <c r="I145"/>
  <c r="J145" s="1"/>
  <c r="F160"/>
  <c r="H65"/>
  <c r="I65"/>
  <c r="J65" s="1"/>
  <c r="I46"/>
  <c r="J46" s="1"/>
  <c r="I48"/>
  <c r="J48" s="1"/>
  <c r="I50"/>
  <c r="J50" s="1"/>
  <c r="I52"/>
  <c r="J52" s="1"/>
  <c r="I56"/>
  <c r="J56" s="1"/>
  <c r="I58"/>
  <c r="J58" s="1"/>
  <c r="H61"/>
  <c r="F65"/>
  <c r="H66"/>
  <c r="F67"/>
  <c r="F69"/>
  <c r="F72"/>
  <c r="H73"/>
  <c r="F86"/>
  <c r="I92"/>
  <c r="J92" s="1"/>
  <c r="H93"/>
  <c r="I100"/>
  <c r="J100" s="1"/>
  <c r="I102"/>
  <c r="J102" s="1"/>
  <c r="I105"/>
  <c r="J105" s="1"/>
  <c r="I107"/>
  <c r="J107" s="1"/>
  <c r="F122"/>
  <c r="F126"/>
  <c r="F130"/>
  <c r="F142"/>
  <c r="I152"/>
  <c r="J152" s="1"/>
  <c r="H153"/>
  <c r="H157"/>
  <c r="I67"/>
  <c r="J67" s="1"/>
  <c r="I69"/>
  <c r="J69" s="1"/>
  <c r="I72"/>
  <c r="J72" s="1"/>
  <c r="I86"/>
  <c r="J86" s="1"/>
  <c r="I122"/>
  <c r="J122" s="1"/>
  <c r="I126"/>
  <c r="J126" s="1"/>
  <c r="I130"/>
  <c r="J130" s="1"/>
  <c r="I142"/>
  <c r="J142" s="1"/>
  <c r="I159"/>
  <c r="J159" s="1"/>
  <c r="I36"/>
  <c r="J36" s="1"/>
  <c r="I40"/>
  <c r="J40" s="1"/>
  <c r="I45"/>
  <c r="J45" s="1"/>
  <c r="G46"/>
  <c r="H46" s="1"/>
  <c r="G48"/>
  <c r="H48" s="1"/>
  <c r="G50"/>
  <c r="H50" s="1"/>
  <c r="G52"/>
  <c r="H52" s="1"/>
  <c r="G56"/>
  <c r="H56" s="1"/>
  <c r="G58"/>
  <c r="H58" s="1"/>
  <c r="G60"/>
  <c r="F68"/>
  <c r="F71"/>
  <c r="I78"/>
  <c r="J78" s="1"/>
  <c r="F83"/>
  <c r="F87"/>
  <c r="I89"/>
  <c r="J89" s="1"/>
  <c r="G92"/>
  <c r="H92" s="1"/>
  <c r="I97"/>
  <c r="J97" s="1"/>
  <c r="G100"/>
  <c r="H100" s="1"/>
  <c r="G102"/>
  <c r="H102" s="1"/>
  <c r="G105"/>
  <c r="H105" s="1"/>
  <c r="G107"/>
  <c r="H107" s="1"/>
  <c r="F114"/>
  <c r="F125"/>
  <c r="F128"/>
  <c r="F141"/>
  <c r="F143"/>
  <c r="I144"/>
  <c r="J144" s="1"/>
  <c r="G152"/>
  <c r="H152" s="1"/>
  <c r="I154"/>
  <c r="J154" s="1"/>
  <c r="I158"/>
  <c r="J158" s="1"/>
  <c r="I43"/>
  <c r="J43" s="1"/>
  <c r="J28" i="53"/>
  <c r="J14"/>
  <c r="J9" s="1"/>
  <c r="I14"/>
  <c r="I9" s="1"/>
  <c r="I28"/>
  <c r="H21" i="52"/>
  <c r="H76"/>
  <c r="G76"/>
  <c r="H42" i="53"/>
  <c r="H67"/>
  <c r="H77"/>
  <c r="H72"/>
  <c r="H62"/>
  <c r="H61"/>
  <c r="H60"/>
  <c r="H10" s="1"/>
  <c r="H52"/>
  <c r="H47"/>
  <c r="H37"/>
  <c r="H32"/>
  <c r="H27"/>
  <c r="H22"/>
  <c r="H17"/>
  <c r="H16"/>
  <c r="H14"/>
  <c r="H9" s="1"/>
  <c r="H8"/>
  <c r="G14"/>
  <c r="G9" s="1"/>
  <c r="G60"/>
  <c r="D56"/>
  <c r="D55"/>
  <c r="D54"/>
  <c r="D53"/>
  <c r="K52"/>
  <c r="J52"/>
  <c r="I52"/>
  <c r="F52"/>
  <c r="E52"/>
  <c r="G27" i="52"/>
  <c r="G26"/>
  <c r="G25"/>
  <c r="G24"/>
  <c r="G23"/>
  <c r="G22"/>
  <c r="D56"/>
  <c r="D57"/>
  <c r="D58"/>
  <c r="D59"/>
  <c r="D60"/>
  <c r="D61"/>
  <c r="D62"/>
  <c r="D63"/>
  <c r="G54"/>
  <c r="G32" i="53"/>
  <c r="D81"/>
  <c r="E80"/>
  <c r="E77" s="1"/>
  <c r="D79"/>
  <c r="D78"/>
  <c r="K77"/>
  <c r="J77"/>
  <c r="I77"/>
  <c r="G77"/>
  <c r="F77"/>
  <c r="D75"/>
  <c r="D72" s="1"/>
  <c r="K72"/>
  <c r="J72"/>
  <c r="I72"/>
  <c r="G72"/>
  <c r="F72"/>
  <c r="E72"/>
  <c r="D71"/>
  <c r="D70"/>
  <c r="K67"/>
  <c r="J67"/>
  <c r="I67"/>
  <c r="G67"/>
  <c r="F67"/>
  <c r="E67"/>
  <c r="D65"/>
  <c r="D64"/>
  <c r="D63"/>
  <c r="K62"/>
  <c r="J62"/>
  <c r="I62"/>
  <c r="G62"/>
  <c r="F62"/>
  <c r="E62"/>
  <c r="K61"/>
  <c r="J61"/>
  <c r="I61"/>
  <c r="G61"/>
  <c r="E61"/>
  <c r="K60"/>
  <c r="J60"/>
  <c r="I60"/>
  <c r="G57"/>
  <c r="F60"/>
  <c r="E60"/>
  <c r="F59"/>
  <c r="E59"/>
  <c r="F58"/>
  <c r="E58"/>
  <c r="I57"/>
  <c r="D51"/>
  <c r="D50"/>
  <c r="D49"/>
  <c r="D48"/>
  <c r="K47"/>
  <c r="J47"/>
  <c r="I47"/>
  <c r="G47"/>
  <c r="F47"/>
  <c r="E47"/>
  <c r="D46"/>
  <c r="D45"/>
  <c r="D44"/>
  <c r="D43"/>
  <c r="K42"/>
  <c r="G42"/>
  <c r="F42"/>
  <c r="E42"/>
  <c r="D41"/>
  <c r="D40"/>
  <c r="D39"/>
  <c r="D38"/>
  <c r="K37"/>
  <c r="J37"/>
  <c r="I37"/>
  <c r="G37"/>
  <c r="F37"/>
  <c r="E37"/>
  <c r="J15"/>
  <c r="D34"/>
  <c r="K32"/>
  <c r="F32"/>
  <c r="E32"/>
  <c r="D31"/>
  <c r="D30"/>
  <c r="D29"/>
  <c r="D28"/>
  <c r="K27"/>
  <c r="J27"/>
  <c r="I27"/>
  <c r="G27"/>
  <c r="F27"/>
  <c r="E27"/>
  <c r="D26"/>
  <c r="D25"/>
  <c r="D24"/>
  <c r="D23"/>
  <c r="K22"/>
  <c r="G22"/>
  <c r="F22"/>
  <c r="E22"/>
  <c r="D21"/>
  <c r="D20"/>
  <c r="D19"/>
  <c r="D18"/>
  <c r="K17"/>
  <c r="I17"/>
  <c r="G17"/>
  <c r="F17"/>
  <c r="E17"/>
  <c r="K16"/>
  <c r="K11" s="1"/>
  <c r="J16"/>
  <c r="J11" s="1"/>
  <c r="I16"/>
  <c r="G16"/>
  <c r="G11" s="1"/>
  <c r="F16"/>
  <c r="F11" s="1"/>
  <c r="E16"/>
  <c r="E11" s="1"/>
  <c r="K15"/>
  <c r="F15"/>
  <c r="F10" s="1"/>
  <c r="E15"/>
  <c r="E10" s="1"/>
  <c r="K14"/>
  <c r="K9" s="1"/>
  <c r="F14"/>
  <c r="E14"/>
  <c r="E9" s="1"/>
  <c r="K13"/>
  <c r="K8" s="1"/>
  <c r="I13"/>
  <c r="G13"/>
  <c r="F13"/>
  <c r="F8" s="1"/>
  <c r="E13"/>
  <c r="I11"/>
  <c r="F9" l="1"/>
  <c r="E12"/>
  <c r="D14"/>
  <c r="H11"/>
  <c r="H7" s="1"/>
  <c r="F7"/>
  <c r="K12"/>
  <c r="D58"/>
  <c r="F12"/>
  <c r="F57"/>
  <c r="D62"/>
  <c r="K57"/>
  <c r="H60" i="54"/>
  <c r="I60"/>
  <c r="J60" s="1"/>
  <c r="J10" i="53"/>
  <c r="I10"/>
  <c r="I12"/>
  <c r="H57"/>
  <c r="H12"/>
  <c r="D52"/>
  <c r="G10"/>
  <c r="D22"/>
  <c r="D47"/>
  <c r="D16"/>
  <c r="E57"/>
  <c r="D67"/>
  <c r="G12"/>
  <c r="E8"/>
  <c r="E7" s="1"/>
  <c r="K10"/>
  <c r="K7" s="1"/>
  <c r="J57"/>
  <c r="I8"/>
  <c r="D27"/>
  <c r="G8"/>
  <c r="D37"/>
  <c r="D42"/>
  <c r="D60"/>
  <c r="D59"/>
  <c r="D17"/>
  <c r="D33"/>
  <c r="D13" s="1"/>
  <c r="D35"/>
  <c r="D15" s="1"/>
  <c r="D61"/>
  <c r="D80"/>
  <c r="D77" s="1"/>
  <c r="J13"/>
  <c r="I7" l="1"/>
  <c r="D11"/>
  <c r="D57"/>
  <c r="G7"/>
  <c r="D9"/>
  <c r="D10"/>
  <c r="J12"/>
  <c r="J8"/>
  <c r="J7" s="1"/>
  <c r="D32"/>
  <c r="D12" l="1"/>
  <c r="D8"/>
  <c r="D7" s="1"/>
  <c r="G39" i="52" l="1"/>
  <c r="F53"/>
  <c r="F21" s="1"/>
  <c r="D67"/>
  <c r="D68"/>
  <c r="D69"/>
  <c r="D70"/>
  <c r="D71"/>
  <c r="D72"/>
  <c r="F54"/>
  <c r="D54" s="1"/>
  <c r="F82"/>
  <c r="G82"/>
  <c r="H82"/>
  <c r="I82"/>
  <c r="J82"/>
  <c r="K82"/>
  <c r="L82"/>
  <c r="E85"/>
  <c r="E82" s="1"/>
  <c r="F39" l="1"/>
  <c r="H9"/>
  <c r="E100"/>
  <c r="E99"/>
  <c r="D99" s="1"/>
  <c r="E98"/>
  <c r="E97"/>
  <c r="D97" s="1"/>
  <c r="E96"/>
  <c r="E53"/>
  <c r="E51" s="1"/>
  <c r="E47"/>
  <c r="D47" s="1"/>
  <c r="E45"/>
  <c r="D45" s="1"/>
  <c r="E44"/>
  <c r="E43"/>
  <c r="D43" s="1"/>
  <c r="E42"/>
  <c r="D42" s="1"/>
  <c r="E37"/>
  <c r="E26" s="1"/>
  <c r="E15" s="1"/>
  <c r="E38"/>
  <c r="E36"/>
  <c r="D36" s="1"/>
  <c r="E34"/>
  <c r="E33"/>
  <c r="D95"/>
  <c r="F9"/>
  <c r="G9"/>
  <c r="I9"/>
  <c r="J9"/>
  <c r="K9"/>
  <c r="L21"/>
  <c r="L9" s="1"/>
  <c r="E48"/>
  <c r="F48"/>
  <c r="G48"/>
  <c r="H48"/>
  <c r="I48"/>
  <c r="J48"/>
  <c r="K48"/>
  <c r="L48"/>
  <c r="D50"/>
  <c r="D48" s="1"/>
  <c r="E28"/>
  <c r="E17" s="1"/>
  <c r="F28"/>
  <c r="F17" s="1"/>
  <c r="G28"/>
  <c r="G17" s="1"/>
  <c r="H28"/>
  <c r="H17" s="1"/>
  <c r="I28"/>
  <c r="I17" s="1"/>
  <c r="J28"/>
  <c r="J17" s="1"/>
  <c r="K28"/>
  <c r="K17" s="1"/>
  <c r="L28"/>
  <c r="L17" s="1"/>
  <c r="F51"/>
  <c r="H51"/>
  <c r="I51"/>
  <c r="J51"/>
  <c r="K51"/>
  <c r="L51"/>
  <c r="E73"/>
  <c r="F73"/>
  <c r="G73"/>
  <c r="H73"/>
  <c r="I73"/>
  <c r="J73"/>
  <c r="K73"/>
  <c r="L73"/>
  <c r="D75"/>
  <c r="D28" s="1"/>
  <c r="D17" s="1"/>
  <c r="H39"/>
  <c r="I39"/>
  <c r="J39"/>
  <c r="K39"/>
  <c r="L39"/>
  <c r="F27"/>
  <c r="F16" s="1"/>
  <c r="G16"/>
  <c r="H27"/>
  <c r="H16" s="1"/>
  <c r="I27"/>
  <c r="I16" s="1"/>
  <c r="J27"/>
  <c r="J16" s="1"/>
  <c r="K27"/>
  <c r="K16" s="1"/>
  <c r="L27"/>
  <c r="L16" s="1"/>
  <c r="F26"/>
  <c r="F15" s="1"/>
  <c r="G15"/>
  <c r="H26"/>
  <c r="H15" s="1"/>
  <c r="I26"/>
  <c r="I15" s="1"/>
  <c r="J26"/>
  <c r="J15" s="1"/>
  <c r="K26"/>
  <c r="K15" s="1"/>
  <c r="L26"/>
  <c r="L15" s="1"/>
  <c r="F25"/>
  <c r="F14" s="1"/>
  <c r="G14"/>
  <c r="H25"/>
  <c r="H14" s="1"/>
  <c r="I25"/>
  <c r="I14" s="1"/>
  <c r="J25"/>
  <c r="J14" s="1"/>
  <c r="K25"/>
  <c r="K14" s="1"/>
  <c r="L25"/>
  <c r="L14" s="1"/>
  <c r="F24"/>
  <c r="F13" s="1"/>
  <c r="G13"/>
  <c r="H24"/>
  <c r="H13" s="1"/>
  <c r="I24"/>
  <c r="I13" s="1"/>
  <c r="J24"/>
  <c r="J13" s="1"/>
  <c r="K24"/>
  <c r="K13" s="1"/>
  <c r="L24"/>
  <c r="L13" s="1"/>
  <c r="F23"/>
  <c r="F12" s="1"/>
  <c r="G12"/>
  <c r="H23"/>
  <c r="H12" s="1"/>
  <c r="I23"/>
  <c r="I12" s="1"/>
  <c r="J23"/>
  <c r="J12" s="1"/>
  <c r="K23"/>
  <c r="K12" s="1"/>
  <c r="L23"/>
  <c r="L12" s="1"/>
  <c r="F22"/>
  <c r="F11" s="1"/>
  <c r="G11"/>
  <c r="H22"/>
  <c r="H11" s="1"/>
  <c r="I22"/>
  <c r="I11" s="1"/>
  <c r="J22"/>
  <c r="J11" s="1"/>
  <c r="K22"/>
  <c r="K11" s="1"/>
  <c r="L22"/>
  <c r="L11" s="1"/>
  <c r="L20"/>
  <c r="L18" s="1"/>
  <c r="E20"/>
  <c r="F20"/>
  <c r="G20"/>
  <c r="H20"/>
  <c r="I20"/>
  <c r="J20"/>
  <c r="K20"/>
  <c r="D44"/>
  <c r="D46"/>
  <c r="E24"/>
  <c r="F93"/>
  <c r="G93"/>
  <c r="H93"/>
  <c r="I93"/>
  <c r="J93"/>
  <c r="K93"/>
  <c r="L93"/>
  <c r="D98"/>
  <c r="D100"/>
  <c r="D101"/>
  <c r="D96"/>
  <c r="E64"/>
  <c r="F64"/>
  <c r="G64"/>
  <c r="H64"/>
  <c r="I64"/>
  <c r="J64"/>
  <c r="K64"/>
  <c r="L64"/>
  <c r="D66"/>
  <c r="D41"/>
  <c r="F29"/>
  <c r="G29"/>
  <c r="H29"/>
  <c r="I29"/>
  <c r="J29"/>
  <c r="K29"/>
  <c r="L29"/>
  <c r="D32"/>
  <c r="D33"/>
  <c r="D22" s="1"/>
  <c r="D35"/>
  <c r="D37"/>
  <c r="D31"/>
  <c r="D20" s="1"/>
  <c r="D92"/>
  <c r="D89" s="1"/>
  <c r="L89"/>
  <c r="K89"/>
  <c r="J89"/>
  <c r="I89"/>
  <c r="H89"/>
  <c r="G89"/>
  <c r="F89"/>
  <c r="E89"/>
  <c r="D88"/>
  <c r="L86"/>
  <c r="I86"/>
  <c r="H86"/>
  <c r="G86"/>
  <c r="F86"/>
  <c r="E86"/>
  <c r="D85"/>
  <c r="D83" s="1"/>
  <c r="L83"/>
  <c r="K83"/>
  <c r="J83"/>
  <c r="I83"/>
  <c r="H83"/>
  <c r="G83"/>
  <c r="F83"/>
  <c r="E83"/>
  <c r="E80" s="1"/>
  <c r="L80"/>
  <c r="K80"/>
  <c r="J80"/>
  <c r="I80"/>
  <c r="H80"/>
  <c r="G80"/>
  <c r="F80"/>
  <c r="D26" l="1"/>
  <c r="D24"/>
  <c r="D13" s="1"/>
  <c r="H10"/>
  <c r="H7" s="1"/>
  <c r="H18"/>
  <c r="I10"/>
  <c r="I7" s="1"/>
  <c r="I18"/>
  <c r="J10"/>
  <c r="J18"/>
  <c r="F10"/>
  <c r="F18"/>
  <c r="J7"/>
  <c r="K10"/>
  <c r="K7" s="1"/>
  <c r="K18"/>
  <c r="G10"/>
  <c r="G7" s="1"/>
  <c r="G18"/>
  <c r="F7"/>
  <c r="D25"/>
  <c r="D14" s="1"/>
  <c r="E22"/>
  <c r="E11" s="1"/>
  <c r="E21"/>
  <c r="E9" s="1"/>
  <c r="E25"/>
  <c r="E14" s="1"/>
  <c r="E39"/>
  <c r="D53"/>
  <c r="D21" s="1"/>
  <c r="E13"/>
  <c r="E23"/>
  <c r="E12" s="1"/>
  <c r="E27"/>
  <c r="E16" s="1"/>
  <c r="L10"/>
  <c r="L7" s="1"/>
  <c r="D86"/>
  <c r="D82"/>
  <c r="D80" s="1"/>
  <c r="E10"/>
  <c r="D93"/>
  <c r="E93"/>
  <c r="E29"/>
  <c r="D15"/>
  <c r="D73"/>
  <c r="D38"/>
  <c r="D34"/>
  <c r="D39"/>
  <c r="D11"/>
  <c r="D64"/>
  <c r="E7" l="1"/>
  <c r="D27"/>
  <c r="D16" s="1"/>
  <c r="E18"/>
  <c r="D23"/>
  <c r="D12" s="1"/>
  <c r="D51"/>
  <c r="D29"/>
  <c r="D10"/>
  <c r="D18" l="1"/>
  <c r="D9"/>
  <c r="D7" s="1"/>
</calcChain>
</file>

<file path=xl/sharedStrings.xml><?xml version="1.0" encoding="utf-8"?>
<sst xmlns="http://schemas.openxmlformats.org/spreadsheetml/2006/main" count="1474" uniqueCount="402">
  <si>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</si>
  <si>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</si>
  <si>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</si>
  <si>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</si>
  <si>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</si>
  <si>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</si>
  <si>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</si>
  <si>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</si>
  <si>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</si>
  <si>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</si>
  <si>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</si>
  <si>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</si>
  <si>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</si>
  <si>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</si>
  <si>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</si>
  <si>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</si>
  <si>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</si>
  <si>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</si>
  <si>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</si>
  <si>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</si>
  <si>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</si>
  <si>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</si>
  <si>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</si>
  <si>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</si>
  <si>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</si>
  <si>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</si>
  <si>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</si>
  <si>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</si>
  <si>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</si>
  <si>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</si>
  <si>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</si>
  <si>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</si>
  <si>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</si>
  <si>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</si>
  <si>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</si>
  <si>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</si>
  <si>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</si>
  <si>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</si>
  <si>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</si>
  <si>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</si>
  <si>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</si>
  <si>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</si>
  <si>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</si>
  <si>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</si>
  <si>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</si>
  <si>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</si>
  <si>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</si>
  <si>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</si>
  <si>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</si>
  <si>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</si>
  <si>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</si>
  <si>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</si>
  <si>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</si>
  <si>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</si>
  <si>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</si>
  <si>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</si>
  <si>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</si>
  <si>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</si>
  <si>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</si>
  <si>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</si>
  <si>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</si>
  <si>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</si>
  <si>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</si>
  <si>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</si>
  <si>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</si>
  <si>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</si>
  <si>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</si>
  <si>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</si>
  <si>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</si>
  <si>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</si>
  <si>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</si>
  <si>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</si>
  <si>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</si>
  <si>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</si>
  <si>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</si>
  <si>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</si>
  <si>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</si>
  <si>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</si>
  <si>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</si>
  <si>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</si>
  <si>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</si>
  <si>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</si>
  <si>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</si>
  <si>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</si>
  <si>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</si>
  <si>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</si>
  <si>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</si>
  <si>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</si>
  <si>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Руководитель управления дорожного хозяйства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</si>
  <si>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</si>
  <si>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</si>
  <si>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</si>
  <si>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</si>
  <si>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Количество отремонтированных дворовых территорий многоквартирных домов, проездов к  дворовым территориям многоквартирных домов</t>
  </si>
  <si>
    <t>Освещенность улиц городского округа город Воронеж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</si>
  <si>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</si>
  <si>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</si>
  <si>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</si>
  <si>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</si>
  <si>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</si>
  <si>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</si>
  <si>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</si>
  <si>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 xml:space="preserve">ед. </t>
  </si>
  <si>
    <t>ед.</t>
  </si>
  <si>
    <t>8</t>
  </si>
  <si>
    <t>26</t>
  </si>
  <si>
    <t>14</t>
  </si>
  <si>
    <t>37</t>
  </si>
  <si>
    <t>168</t>
  </si>
  <si>
    <t>42</t>
  </si>
  <si>
    <t>80</t>
  </si>
  <si>
    <t>105</t>
  </si>
  <si>
    <t>Мероприятие 1.8</t>
  </si>
  <si>
    <t>М.А. Оськин</t>
  </si>
  <si>
    <t>740</t>
  </si>
  <si>
    <t>35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</si>
  <si>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</si>
  <si>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</si>
  <si>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</si>
  <si>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</si>
  <si>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</si>
  <si>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</si>
  <si>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</si>
  <si>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</si>
  <si>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</si>
  <si>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</si>
  <si>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</si>
  <si>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</si>
  <si>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</si>
  <si>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</si>
  <si>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</si>
  <si>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</si>
  <si>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</si>
  <si>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</si>
  <si>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</si>
  <si>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</si>
  <si>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</si>
  <si>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</si>
  <si>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</si>
  <si>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</si>
  <si>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</si>
  <si>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</si>
  <si>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</si>
  <si>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</si>
  <si>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</si>
  <si>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</si>
  <si>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</si>
  <si>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</si>
  <si>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</si>
  <si>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</si>
  <si>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</si>
  <si>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</si>
  <si>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</si>
  <si>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71,8</t>
  </si>
  <si>
    <t>72,5</t>
  </si>
  <si>
    <t>73,2</t>
  </si>
  <si>
    <t>74</t>
  </si>
  <si>
    <t>Доля протяженности автомобильных дорог общего пользования местного значения с твердым покрытием, не отвечающих нормативным требованиям, и грунтовым</t>
  </si>
  <si>
    <t>Протяженность автомобильных дорог общего пользования местного значения  соответствующих нормативным требованиям  к транспортно-эксплуатационным показателям</t>
  </si>
  <si>
    <t>97,5</t>
  </si>
  <si>
    <t>98,5</t>
  </si>
  <si>
    <t>99,5</t>
  </si>
  <si>
    <t>49,1</t>
  </si>
  <si>
    <t>48,3</t>
  </si>
  <si>
    <t>47,9</t>
  </si>
  <si>
    <t>47,6</t>
  </si>
  <si>
    <t>169,1</t>
  </si>
  <si>
    <t>196,6</t>
  </si>
  <si>
    <t>201,6</t>
  </si>
  <si>
    <t>207</t>
  </si>
  <si>
    <t>Дата составления таблицы: 04.02.2017</t>
  </si>
  <si>
    <t>Приложение № 4</t>
  </si>
  <si>
    <t>№</t>
  </si>
  <si>
    <t>Перечень автодорог (улиц) с указанием км (адрес объекта в границах агломерации)входящих в состав агломерации</t>
  </si>
  <si>
    <t>Протяженность автодороги (улицы) в пределах агломерации и площадь покрытия</t>
  </si>
  <si>
    <t>Протяженность автодороги (улицы), находящейся в нормативном состоянии, км/%</t>
  </si>
  <si>
    <t>Объекты, предлагаемые к реализации, в пределах агломерации</t>
  </si>
  <si>
    <t>на 31.12.16</t>
  </si>
  <si>
    <t>Ожидаемое</t>
  </si>
  <si>
    <t>в 2017 году</t>
  </si>
  <si>
    <t>в 2018 году</t>
  </si>
  <si>
    <t>на 31.12.17</t>
  </si>
  <si>
    <t>на 31.12.18</t>
  </si>
  <si>
    <t>Адрес объекта</t>
  </si>
  <si>
    <t>Виды работ</t>
  </si>
  <si>
    <t>Единица измерения, км, шт., п.м.</t>
  </si>
  <si>
    <t>Мощность объекта</t>
  </si>
  <si>
    <t>кв.м. (только для ремонта покрытия проезжей части)</t>
  </si>
  <si>
    <t>Стоимость, млн.руб.</t>
  </si>
  <si>
    <t>а/д (км+м-км+м)</t>
  </si>
  <si>
    <t>кв.м</t>
  </si>
  <si>
    <t>Автомобильные дороги местного значения (улицы)</t>
  </si>
  <si>
    <t>проспект Ленинский</t>
  </si>
  <si>
    <t>Ремонт автомобильной дороги</t>
  </si>
  <si>
    <t>д.1-д..4</t>
  </si>
  <si>
    <t>шт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</si>
  <si>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</si>
  <si>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</si>
  <si>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д.7-д.11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</si>
  <si>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</si>
  <si>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</si>
  <si>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</si>
  <si>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</si>
  <si>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д.82-д.99</t>
  </si>
  <si>
    <t>Установить дополнительные знаки 5.19.1 на Г образной опоре</t>
  </si>
  <si>
    <t>д.137 - д.156</t>
  </si>
  <si>
    <t>д.151 - д.172</t>
  </si>
  <si>
    <t>д.175 - д.172/1</t>
  </si>
  <si>
    <t>д.174-д.203</t>
  </si>
  <si>
    <t>проезд ул. Остужева-мкр. Боровое</t>
  </si>
  <si>
    <t>д.43</t>
  </si>
  <si>
    <t>Установить светофор на Т-образном перекрестке</t>
  </si>
  <si>
    <t>Бульвар Победы</t>
  </si>
  <si>
    <t>Московский проспект-ул.Антонова-Овсеенко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</si>
  <si>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</si>
  <si>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</si>
  <si>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</si>
  <si>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</si>
  <si>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</si>
  <si>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</si>
  <si>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</si>
  <si>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</si>
  <si>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</si>
  <si>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д.38 - д.61а</t>
  </si>
  <si>
    <t>Обустроить остановки общественного транспорта в соответствии с требованиями нормативных документов</t>
  </si>
  <si>
    <t>ул. В.Невского</t>
  </si>
  <si>
    <t>ул.Хользунова-бульв.Победы, ул.60 Армии-Московский проспект</t>
  </si>
  <si>
    <t>д.31/1 - д.48г</t>
  </si>
  <si>
    <t>ул. Новосибирская</t>
  </si>
  <si>
    <t>п.п. по ул. Новосибирской - ул.Корольковой</t>
  </si>
  <si>
    <t>наб. Петровская</t>
  </si>
  <si>
    <t>ул. Ворошилова</t>
  </si>
  <si>
    <t>д.19-д.36а</t>
  </si>
  <si>
    <t>Установить дополнительные знаки 5,19,1  на Г образной опоре</t>
  </si>
  <si>
    <t>ул. Грамши (с транспортной развязкой ул.20-летия Октября-наб. Петровская)</t>
  </si>
  <si>
    <t>ул. Чапаева</t>
  </si>
  <si>
    <t xml:space="preserve">ул. Чапаева </t>
  </si>
  <si>
    <t>ул. Матросова</t>
  </si>
  <si>
    <t xml:space="preserve">ул. Героев Сибиряков </t>
  </si>
  <si>
    <t>ул. Тимирязева</t>
  </si>
  <si>
    <t xml:space="preserve"> ул.Ломоносова-ул.Мичурина</t>
  </si>
  <si>
    <t>ул. Богдана Хмельницкого</t>
  </si>
  <si>
    <t>Ленинский проспект-п.п. по ул.Б.Хмельницкого</t>
  </si>
  <si>
    <t>ул. Планетная</t>
  </si>
  <si>
    <t>ул. Калининградская - автодорога М 4 "Дон"</t>
  </si>
  <si>
    <t>ул. Калининградская</t>
  </si>
  <si>
    <t>ул. Куйбышева - ул. Планетная</t>
  </si>
  <si>
    <t>ул. Куйбышева</t>
  </si>
  <si>
    <t>ул. Панфилова - ул. Калининградская</t>
  </si>
  <si>
    <t>ул. Панфилова</t>
  </si>
  <si>
    <t>п.п. по ул. Б.Хмельницкого - ул. Куйбышева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</si>
  <si>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</si>
  <si>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</si>
  <si>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</si>
  <si>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</si>
  <si>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</si>
  <si>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</si>
  <si>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</si>
  <si>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</si>
  <si>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</si>
  <si>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</si>
  <si>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</si>
  <si>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д.40-д.44,23а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</si>
  <si>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</si>
  <si>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</si>
  <si>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</si>
  <si>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</si>
  <si>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Плехановская - ул. 20-летия Октября</t>
  </si>
  <si>
    <t>ул. Софьи Перовской</t>
  </si>
  <si>
    <t>Перовская наб. - ул. Чернышевского</t>
  </si>
  <si>
    <t>ул. Дорожная</t>
  </si>
  <si>
    <t>ул. Героев Сибиряков - ул. Пеше-Стрелецкая</t>
  </si>
  <si>
    <t>ул. Пеше-Стрелецкая</t>
  </si>
  <si>
    <t>д.139-д.163</t>
  </si>
  <si>
    <t>Установить дополнительные знаки 5,19,1  на Г -образной опоре</t>
  </si>
  <si>
    <t>ул. 25 Января</t>
  </si>
  <si>
    <t>ул. 50 -летия ВЛКСМ</t>
  </si>
  <si>
    <t>пер. Ангелиной - ул. Героев России</t>
  </si>
  <si>
    <t>ул. Димитрова</t>
  </si>
  <si>
    <t>д.55-д.60а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</si>
  <si>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</si>
  <si>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</si>
  <si>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</si>
  <si>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</si>
  <si>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</si>
  <si>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д.55 - д.134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</si>
  <si>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</si>
  <si>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</si>
  <si>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</si>
  <si>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</si>
  <si>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Старых Большевиков - ул. Минская, 35А</t>
  </si>
  <si>
    <t>ул. Остужева</t>
  </si>
  <si>
    <t>ул. 25 Января - автодорога М 4 "Дон"</t>
  </si>
  <si>
    <t>перекресток ул. Остужева д.1а-15 - ул. Переверткина д.7-26</t>
  </si>
  <si>
    <t>д.52 - д.64</t>
  </si>
  <si>
    <t>Установить дополнительные знаки 5.19.1 на Г -образной опоре</t>
  </si>
  <si>
    <t>ул. Украинская</t>
  </si>
  <si>
    <t>ул. Федора Тютчева</t>
  </si>
  <si>
    <t>автодорога М 4 "Дон" - пер. Ангелиной</t>
  </si>
  <si>
    <t>Московский проспект</t>
  </si>
  <si>
    <t>проспект Московский</t>
  </si>
  <si>
    <t>д.20 - д.24</t>
  </si>
  <si>
    <t>д.3 - д.7е</t>
  </si>
  <si>
    <t>д.91 - д.99</t>
  </si>
  <si>
    <t>ул. 60 Армии</t>
  </si>
  <si>
    <t>ул. 9 Января</t>
  </si>
  <si>
    <t>д.127 - д.132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</si>
  <si>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</si>
  <si>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</si>
  <si>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</si>
  <si>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д. 3г - д.7г/2</t>
  </si>
  <si>
    <t>д.19 - д.29</t>
  </si>
  <si>
    <t>д.22 - д.30/2</t>
  </si>
  <si>
    <t>ул. Маршала Жукова</t>
  </si>
  <si>
    <t>ул .Генерала Лизюкова - ул. В.Невского</t>
  </si>
  <si>
    <t>ул. Солнечная</t>
  </si>
  <si>
    <t>ул. Транспортная</t>
  </si>
  <si>
    <t>ул. Танкиста Серебрякова - ул. Урицкого</t>
  </si>
  <si>
    <t>ул. Хользунова</t>
  </si>
  <si>
    <t>д.60б - д.68</t>
  </si>
  <si>
    <t>ул. Брусилова</t>
  </si>
  <si>
    <t>Чернавский мост - Ленинский проспект</t>
  </si>
  <si>
    <t>ул. Ильюшина</t>
  </si>
  <si>
    <t>ул. 20-летия Октября</t>
  </si>
  <si>
    <t>п.п. по ул. 20-летия Октября - Ленинский проспект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</si>
  <si>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</si>
  <si>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</si>
  <si>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</si>
  <si>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</si>
  <si>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Чапаева - ул. Краснознаменная, 231</t>
  </si>
  <si>
    <t>ул. Острогожская</t>
  </si>
  <si>
    <t>д.79-д.111</t>
  </si>
  <si>
    <t>Обустроить остановки общественного транспорта в соответствии с нормативными требованиями</t>
  </si>
  <si>
    <t>д.103-д.109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</si>
  <si>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</si>
  <si>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</si>
  <si>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ул. Матросова - пр. Патриотов, 5г; ул. Ю.Моравская, 35 - автодорога А-144</t>
  </si>
  <si>
    <t>д.1-д.5г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</si>
  <si>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</si>
  <si>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</si>
  <si>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д.11-д.23б</t>
  </si>
  <si>
    <t>д.24-д.31</t>
  </si>
  <si>
    <t>ул. Генерала Перхоровича</t>
  </si>
  <si>
    <t>д.13-д.26</t>
  </si>
  <si>
    <t>Установить турникетное ограждение у светофорного объекта д.17 протяженностью 50 м в каждую сторону</t>
  </si>
  <si>
    <t>Установить дополнительные знаки 5,19,1 на Г образной опоре</t>
  </si>
  <si>
    <t>ул. Космонавта Комарова</t>
  </si>
  <si>
    <t xml:space="preserve">ул. Космонавтов </t>
  </si>
  <si>
    <t>ул. Космонавтов</t>
  </si>
  <si>
    <t>д.10-д.23</t>
  </si>
  <si>
    <t>ул. Писателя Маршака</t>
  </si>
  <si>
    <t>д.28-д.28б</t>
  </si>
  <si>
    <t>ул. Теплоэнергетиков</t>
  </si>
  <si>
    <t>ул. Тепличная</t>
  </si>
  <si>
    <t>д.1А-д.4</t>
  </si>
  <si>
    <t xml:space="preserve">Обустроить тротуары  </t>
  </si>
  <si>
    <t>ул. Южно-Моравская</t>
  </si>
  <si>
    <t>д.2-д.24</t>
  </si>
  <si>
    <t>д.29-д.66</t>
  </si>
  <si>
    <t>д.9-д.38а</t>
  </si>
  <si>
    <t>Перенести остановку общественного транспорта за пересечение с ул. Космонавта Комарова</t>
  </si>
  <si>
    <t>проспект Революции</t>
  </si>
  <si>
    <t>д.14-18-д.19</t>
  </si>
  <si>
    <t>д.25-д.29</t>
  </si>
  <si>
    <t>д.32-44-д.31-35</t>
  </si>
  <si>
    <t>пл. Ленина</t>
  </si>
  <si>
    <t>проспект Революции - ул. Кирова - ул. Платонова</t>
  </si>
  <si>
    <t>ул. Ленина</t>
  </si>
  <si>
    <t>ул. Ломоносова</t>
  </si>
  <si>
    <t>п.п. по ул. Ленина - ул. Тимирязева</t>
  </si>
  <si>
    <t>ул. Мира</t>
  </si>
  <si>
    <t>ул. Плехановская</t>
  </si>
  <si>
    <t>д.22-22-д.29-31</t>
  </si>
  <si>
    <t>д.51-59-д.58-66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</si>
  <si>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</si>
  <si>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</si>
  <si>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д.36/1-д.41-49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</si>
  <si>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</si>
  <si>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</si>
  <si>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</si>
  <si>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ул. 50-летия ВЛКСМ - ул. Украинская</t>
  </si>
  <si>
    <t>пер. Ангелиной</t>
  </si>
  <si>
    <t>ул. Ф.Тютчева - ул. 50-летия ВЛКСМ</t>
  </si>
  <si>
    <t>ул.Переверткина ( ул.З. Космодемьянской- ул.Ст.Большевиков)</t>
  </si>
  <si>
    <t>ул.З. Космодемьянской</t>
  </si>
  <si>
    <t>ул.Электросигнальная</t>
  </si>
  <si>
    <t>ул.Серова</t>
  </si>
  <si>
    <t>ул.Циолковского</t>
  </si>
  <si>
    <t>ул. Циолковского (ул.Волгоградская-ул.Туполева)</t>
  </si>
  <si>
    <t>ул.Туполева</t>
  </si>
  <si>
    <t>ул.Туполева (ул.Циолковского-ул.Иркутская)</t>
  </si>
  <si>
    <t>ул.Иркутская</t>
  </si>
  <si>
    <t>ул.Иркутская (ул.Туполева-ул.Писарева,13а-ул.Ильюшина)</t>
  </si>
  <si>
    <t>Установка и обустройство остановки пассажирского транспорта</t>
  </si>
  <si>
    <t>Установка дорожных знаков</t>
  </si>
  <si>
    <t>Обозначить и обустроить остановки пассажирского транспорта в районе дома 2 согласно действующих норм и правил</t>
  </si>
  <si>
    <t>837</t>
  </si>
  <si>
    <t>ул.Электросиг                     нальная</t>
  </si>
  <si>
    <t>ул.З. Космодемьян              ской</t>
  </si>
  <si>
    <t>ул.Переверткина       ( ул.З. Космодемьян                  ской- ул.Ст.Большевиков)</t>
  </si>
  <si>
    <t xml:space="preserve">Перечень автомобильных дорог,  планируемых  к ремонту на территории городского округа город Воронеж в рамках реализации программы комплексного развития инфраструктуры Воронежской городской агломерации </t>
  </si>
  <si>
    <t>ПОДПРОГРАММА  1 «Развитие дорожного хозяйства»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</si>
</sst>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#,##0.0"/>
    <numFmt numFmtId="165" formatCode="0.000"/>
    <numFmt numFmtId="166" formatCode="#,##0.000;[Red]#,##0.000"/>
    <numFmt numFmtId="167" formatCode="#,##0;[Red]#,##0"/>
    <numFmt numFmtId="168" formatCode="#,##0.00;[Red]#,##0.00"/>
    <numFmt numFmtId="169" formatCode="#,##0.000"/>
  </numFmts>
  <fonts count="2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ont="1" applyFill="1"/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top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0" fontId="18" fillId="0" borderId="0" xfId="1" applyFont="1"/>
    <xf numFmtId="4" fontId="18" fillId="2" borderId="0" xfId="1" applyNumberFormat="1" applyFont="1" applyFill="1"/>
    <xf numFmtId="4" fontId="18" fillId="0" borderId="0" xfId="1" applyNumberFormat="1" applyFo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2" fillId="2" borderId="0" xfId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1" fontId="0" fillId="2" borderId="0" xfId="0" applyNumberFormat="1" applyFill="1"/>
    <xf numFmtId="1" fontId="0" fillId="2" borderId="0" xfId="0" applyNumberFormat="1" applyFont="1" applyFill="1"/>
    <xf numFmtId="0" fontId="2" fillId="2" borderId="0" xfId="0" applyFont="1" applyFill="1" applyAlignment="1">
      <alignment wrapText="1"/>
    </xf>
    <xf numFmtId="49" fontId="0" fillId="2" borderId="0" xfId="0" applyNumberFormat="1" applyFill="1"/>
    <xf numFmtId="2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69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/>
    <xf numFmtId="165" fontId="2" fillId="2" borderId="0" xfId="0" applyNumberFormat="1" applyFont="1" applyFill="1"/>
    <xf numFmtId="0" fontId="20" fillId="2" borderId="1" xfId="0" applyFont="1" applyFill="1" applyBorder="1"/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18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18" fillId="0" borderId="0" xfId="1" applyFont="1" applyAlignment="1">
      <alignment horizontal="right"/>
    </xf>
    <xf numFmtId="0" fontId="18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165" fontId="2" fillId="2" borderId="4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autoPageBreaks="0"/>
  </sheetPr>
  <dimension ref="A1:O46"/>
  <sheetViews>
    <sheetView view="pageLayout" topLeftCell="A11" zoomScale="75" zoomScaleNormal="100" zoomScaleSheetLayoutView="85" zoomScalePageLayoutView="75" workbookViewId="0">
      <selection activeCell="J13" sqref="J13"/>
    </sheetView>
  </sheetViews>
  <sheetFormatPr defaultRowHeight="12.75"/>
  <cols>
    <col min="1" max="1" width="7.85546875" style="77" customWidth="1"/>
    <col min="2" max="2" width="43" style="77" customWidth="1"/>
    <col min="3" max="3" width="15" style="77" customWidth="1"/>
    <col min="4" max="4" width="9" style="77" customWidth="1"/>
    <col min="5" max="6" width="12.140625" style="77" customWidth="1"/>
    <col min="7" max="7" width="10.42578125" style="77" customWidth="1"/>
    <col min="8" max="8" width="9.85546875" style="77" customWidth="1"/>
    <col min="9" max="9" width="11.42578125" style="77" customWidth="1"/>
    <col min="10" max="10" width="10.28515625" style="77" customWidth="1"/>
    <col min="11" max="11" width="11.5703125" style="77" customWidth="1"/>
    <col min="12" max="12" width="11.140625" style="77" customWidth="1"/>
    <col min="13" max="13" width="12" style="77" customWidth="1"/>
    <col min="14" max="14" width="3.28515625" style="77" customWidth="1"/>
    <col min="15" max="16384" width="9.140625" style="77"/>
  </cols>
  <sheetData>
    <row r="1" spans="1:15" ht="18.75" hidden="1">
      <c r="A1" s="74"/>
      <c r="B1" s="75"/>
      <c r="C1" s="75"/>
      <c r="D1" s="75"/>
      <c r="E1" s="75"/>
      <c r="F1" s="76"/>
      <c r="G1" s="76"/>
      <c r="H1" s="76"/>
      <c r="I1" s="76"/>
      <c r="J1" s="32"/>
    </row>
    <row r="2" spans="1:15" ht="21" customHeight="1">
      <c r="A2" s="164"/>
      <c r="B2" s="164"/>
      <c r="C2" s="164"/>
      <c r="D2" s="164"/>
      <c r="E2" s="164"/>
      <c r="F2" s="76"/>
      <c r="G2" s="76"/>
      <c r="H2" s="76"/>
      <c r="I2" s="163" t="s">
        <v>146</v>
      </c>
      <c r="J2" s="163"/>
      <c r="K2" s="163"/>
      <c r="L2" s="163"/>
      <c r="M2" s="163"/>
      <c r="N2" s="163"/>
    </row>
    <row r="3" spans="1:15" ht="20.25" customHeight="1">
      <c r="A3" s="74"/>
      <c r="B3" s="75"/>
      <c r="C3" s="75"/>
      <c r="D3" s="75"/>
      <c r="E3" s="75"/>
      <c r="F3" s="76"/>
      <c r="G3" s="76"/>
      <c r="H3" s="76"/>
      <c r="I3" s="159" t="s">
        <v>144</v>
      </c>
      <c r="J3" s="159"/>
      <c r="K3" s="159"/>
      <c r="L3" s="159"/>
      <c r="M3" s="159"/>
      <c r="N3" s="159"/>
    </row>
    <row r="4" spans="1:15" s="1" customFormat="1" ht="67.5" customHeight="1">
      <c r="A4" s="174" t="s">
        <v>143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5" ht="9" customHeight="1">
      <c r="A5" s="74"/>
      <c r="B5" s="78"/>
      <c r="C5" s="78"/>
      <c r="D5" s="79"/>
      <c r="E5" s="79"/>
      <c r="F5" s="80"/>
      <c r="G5" s="80"/>
      <c r="H5" s="80"/>
      <c r="I5" s="80"/>
      <c r="J5" s="80"/>
    </row>
    <row r="6" spans="1:15" s="1" customFormat="1" ht="36.75" customHeight="1">
      <c r="A6" s="158" t="s">
        <v>1</v>
      </c>
      <c r="B6" s="158" t="s">
        <v>4</v>
      </c>
      <c r="C6" s="175" t="s">
        <v>58</v>
      </c>
      <c r="D6" s="158" t="s">
        <v>5</v>
      </c>
      <c r="E6" s="158" t="s">
        <v>34</v>
      </c>
      <c r="F6" s="158" t="s">
        <v>137</v>
      </c>
      <c r="G6" s="158" t="s">
        <v>15</v>
      </c>
      <c r="H6" s="158"/>
      <c r="I6" s="158"/>
      <c r="J6" s="158"/>
      <c r="K6" s="158"/>
      <c r="L6" s="158"/>
      <c r="M6" s="158"/>
    </row>
    <row r="7" spans="1:15" s="1" customFormat="1" ht="63" customHeight="1">
      <c r="A7" s="158"/>
      <c r="B7" s="158"/>
      <c r="C7" s="176"/>
      <c r="D7" s="158"/>
      <c r="E7" s="158"/>
      <c r="F7" s="158"/>
      <c r="G7" s="71">
        <v>2014</v>
      </c>
      <c r="H7" s="71">
        <v>2015</v>
      </c>
      <c r="I7" s="71">
        <v>2016</v>
      </c>
      <c r="J7" s="71">
        <v>2017</v>
      </c>
      <c r="K7" s="71">
        <v>2018</v>
      </c>
      <c r="L7" s="71">
        <v>2019</v>
      </c>
      <c r="M7" s="71">
        <v>2020</v>
      </c>
    </row>
    <row r="8" spans="1:15" s="81" customFormat="1" ht="42" customHeight="1">
      <c r="A8" s="171" t="s">
        <v>142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3"/>
    </row>
    <row r="9" spans="1:15" s="15" customFormat="1" ht="102.75" customHeight="1">
      <c r="A9" s="47" t="s">
        <v>2</v>
      </c>
      <c r="B9" s="6" t="s">
        <v>158</v>
      </c>
      <c r="C9" s="47"/>
      <c r="D9" s="47" t="s">
        <v>26</v>
      </c>
      <c r="E9" s="47" t="s">
        <v>82</v>
      </c>
      <c r="F9" s="47" t="s">
        <v>83</v>
      </c>
      <c r="G9" s="33">
        <v>616.79999999999995</v>
      </c>
      <c r="H9" s="33">
        <v>617.29999999999995</v>
      </c>
      <c r="I9" s="33">
        <v>651.4</v>
      </c>
      <c r="J9" s="33">
        <v>741</v>
      </c>
      <c r="K9" s="33">
        <v>752</v>
      </c>
      <c r="L9" s="33">
        <v>757</v>
      </c>
      <c r="M9" s="33">
        <v>762</v>
      </c>
    </row>
    <row r="10" spans="1:15" s="15" customFormat="1" ht="65.25" customHeight="1">
      <c r="A10" s="47" t="s">
        <v>3</v>
      </c>
      <c r="B10" s="6" t="s">
        <v>32</v>
      </c>
      <c r="C10" s="49"/>
      <c r="D10" s="47" t="s">
        <v>25</v>
      </c>
      <c r="E10" s="47" t="s">
        <v>36</v>
      </c>
      <c r="F10" s="47" t="s">
        <v>67</v>
      </c>
      <c r="G10" s="47" t="s">
        <v>73</v>
      </c>
      <c r="H10" s="47" t="s">
        <v>74</v>
      </c>
      <c r="I10" s="47" t="s">
        <v>33</v>
      </c>
      <c r="J10" s="47" t="s">
        <v>153</v>
      </c>
      <c r="K10" s="47" t="s">
        <v>154</v>
      </c>
      <c r="L10" s="47" t="s">
        <v>155</v>
      </c>
      <c r="M10" s="47" t="s">
        <v>156</v>
      </c>
    </row>
    <row r="11" spans="1:15" s="1" customFormat="1" ht="95.25" customHeight="1">
      <c r="A11" s="47" t="s">
        <v>63</v>
      </c>
      <c r="B11" s="6" t="s">
        <v>93</v>
      </c>
      <c r="C11" s="49"/>
      <c r="D11" s="47" t="s">
        <v>102</v>
      </c>
      <c r="E11" s="34">
        <v>86</v>
      </c>
      <c r="F11" s="34" t="s">
        <v>68</v>
      </c>
      <c r="G11" s="34" t="s">
        <v>85</v>
      </c>
      <c r="H11" s="34">
        <v>152</v>
      </c>
      <c r="I11" s="34">
        <v>28</v>
      </c>
      <c r="J11" s="34">
        <v>1</v>
      </c>
      <c r="K11" s="34">
        <v>0</v>
      </c>
      <c r="L11" s="34">
        <v>0</v>
      </c>
      <c r="M11" s="34" t="s">
        <v>27</v>
      </c>
      <c r="N11" s="82"/>
      <c r="O11" s="83"/>
    </row>
    <row r="12" spans="1:15" s="1" customFormat="1" ht="41.25" customHeight="1">
      <c r="A12" s="168" t="s">
        <v>401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70"/>
    </row>
    <row r="13" spans="1:15" s="1" customFormat="1" ht="78" customHeight="1">
      <c r="A13" s="47" t="s">
        <v>2</v>
      </c>
      <c r="B13" s="6" t="s">
        <v>84</v>
      </c>
      <c r="C13" s="47"/>
      <c r="D13" s="47" t="s">
        <v>98</v>
      </c>
      <c r="E13" s="16">
        <v>299.697</v>
      </c>
      <c r="F13" s="16">
        <v>787</v>
      </c>
      <c r="G13" s="16">
        <v>312.48</v>
      </c>
      <c r="H13" s="16">
        <v>312.95</v>
      </c>
      <c r="I13" s="16">
        <v>322.7</v>
      </c>
      <c r="J13" s="16">
        <v>214.1</v>
      </c>
      <c r="K13" s="16">
        <v>200</v>
      </c>
      <c r="L13" s="16">
        <v>310</v>
      </c>
      <c r="M13" s="16">
        <v>320</v>
      </c>
    </row>
    <row r="14" spans="1:15" s="1" customFormat="1" ht="81.75" customHeight="1">
      <c r="A14" s="47" t="s">
        <v>3</v>
      </c>
      <c r="B14" s="84" t="s">
        <v>157</v>
      </c>
      <c r="C14" s="5"/>
      <c r="D14" s="47" t="s">
        <v>25</v>
      </c>
      <c r="E14" s="47" t="s">
        <v>78</v>
      </c>
      <c r="F14" s="47" t="s">
        <v>79</v>
      </c>
      <c r="G14" s="47" t="s">
        <v>80</v>
      </c>
      <c r="H14" s="47" t="s">
        <v>80</v>
      </c>
      <c r="I14" s="47" t="s">
        <v>136</v>
      </c>
      <c r="J14" s="47" t="s">
        <v>162</v>
      </c>
      <c r="K14" s="47" t="s">
        <v>163</v>
      </c>
      <c r="L14" s="47" t="s">
        <v>164</v>
      </c>
      <c r="M14" s="47" t="s">
        <v>165</v>
      </c>
    </row>
    <row r="15" spans="1:15" s="1" customFormat="1" ht="50.25" customHeight="1">
      <c r="A15" s="47" t="s">
        <v>63</v>
      </c>
      <c r="B15" s="6" t="s">
        <v>77</v>
      </c>
      <c r="C15" s="49"/>
      <c r="D15" s="47" t="s">
        <v>103</v>
      </c>
      <c r="E15" s="7" t="s">
        <v>35</v>
      </c>
      <c r="F15" s="7" t="s">
        <v>35</v>
      </c>
      <c r="G15" s="7" t="s">
        <v>35</v>
      </c>
      <c r="H15" s="7" t="s">
        <v>35</v>
      </c>
      <c r="I15" s="7" t="s">
        <v>35</v>
      </c>
      <c r="J15" s="7" t="s">
        <v>135</v>
      </c>
      <c r="K15" s="47" t="s">
        <v>2</v>
      </c>
      <c r="L15" s="47" t="s">
        <v>2</v>
      </c>
      <c r="M15" s="47" t="s">
        <v>3</v>
      </c>
    </row>
    <row r="16" spans="1:15" s="1" customFormat="1" ht="128.25" customHeight="1">
      <c r="A16" s="47" t="s">
        <v>99</v>
      </c>
      <c r="B16" s="6" t="s">
        <v>138</v>
      </c>
      <c r="C16" s="49"/>
      <c r="D16" s="47" t="s">
        <v>26</v>
      </c>
      <c r="E16" s="47" t="s">
        <v>75</v>
      </c>
      <c r="F16" s="47" t="s">
        <v>75</v>
      </c>
      <c r="G16" s="47" t="s">
        <v>76</v>
      </c>
      <c r="H16" s="47" t="s">
        <v>117</v>
      </c>
      <c r="I16" s="47" t="s">
        <v>151</v>
      </c>
      <c r="J16" s="47" t="s">
        <v>166</v>
      </c>
      <c r="K16" s="47" t="s">
        <v>167</v>
      </c>
      <c r="L16" s="47" t="s">
        <v>168</v>
      </c>
      <c r="M16" s="47" t="s">
        <v>169</v>
      </c>
    </row>
    <row r="17" spans="1:14" s="1" customFormat="1" ht="33" customHeight="1">
      <c r="A17" s="47" t="s">
        <v>100</v>
      </c>
      <c r="B17" s="6" t="s">
        <v>94</v>
      </c>
      <c r="C17" s="5"/>
      <c r="D17" s="47" t="s">
        <v>25</v>
      </c>
      <c r="E17" s="47" t="s">
        <v>70</v>
      </c>
      <c r="F17" s="47" t="s">
        <v>71</v>
      </c>
      <c r="G17" s="47" t="s">
        <v>71</v>
      </c>
      <c r="H17" s="47" t="s">
        <v>72</v>
      </c>
      <c r="I17" s="47" t="s">
        <v>159</v>
      </c>
      <c r="J17" s="47" t="s">
        <v>159</v>
      </c>
      <c r="K17" s="47" t="s">
        <v>70</v>
      </c>
      <c r="L17" s="47" t="s">
        <v>160</v>
      </c>
      <c r="M17" s="47" t="s">
        <v>161</v>
      </c>
    </row>
    <row r="18" spans="1:14" s="1" customFormat="1" ht="82.5" customHeight="1">
      <c r="A18" s="47" t="s">
        <v>101</v>
      </c>
      <c r="B18" s="6" t="s">
        <v>132</v>
      </c>
      <c r="C18" s="5"/>
      <c r="D18" s="47" t="s">
        <v>25</v>
      </c>
      <c r="E18" s="47" t="s">
        <v>135</v>
      </c>
      <c r="F18" s="47" t="s">
        <v>135</v>
      </c>
      <c r="G18" s="47" t="s">
        <v>135</v>
      </c>
      <c r="H18" s="47" t="s">
        <v>135</v>
      </c>
      <c r="I18" s="47" t="s">
        <v>134</v>
      </c>
      <c r="J18" s="47" t="s">
        <v>135</v>
      </c>
      <c r="K18" s="47" t="s">
        <v>135</v>
      </c>
      <c r="L18" s="47" t="s">
        <v>135</v>
      </c>
      <c r="M18" s="47" t="s">
        <v>135</v>
      </c>
    </row>
    <row r="19" spans="1:14" s="1" customFormat="1" ht="42" customHeight="1">
      <c r="A19" s="47" t="s">
        <v>91</v>
      </c>
      <c r="B19" s="6" t="s">
        <v>64</v>
      </c>
      <c r="C19" s="5"/>
      <c r="D19" s="47" t="s">
        <v>26</v>
      </c>
      <c r="E19" s="47" t="s">
        <v>65</v>
      </c>
      <c r="F19" s="47" t="s">
        <v>65</v>
      </c>
      <c r="G19" s="47" t="s">
        <v>65</v>
      </c>
      <c r="H19" s="47" t="s">
        <v>65</v>
      </c>
      <c r="I19" s="47" t="s">
        <v>65</v>
      </c>
      <c r="J19" s="47" t="s">
        <v>65</v>
      </c>
      <c r="K19" s="47" t="s">
        <v>65</v>
      </c>
      <c r="L19" s="47" t="s">
        <v>65</v>
      </c>
      <c r="M19" s="47" t="s">
        <v>66</v>
      </c>
    </row>
    <row r="20" spans="1:14" s="1" customFormat="1" ht="43.5" customHeight="1">
      <c r="A20" s="47" t="s">
        <v>104</v>
      </c>
      <c r="B20" s="6" t="s">
        <v>90</v>
      </c>
      <c r="C20" s="5"/>
      <c r="D20" s="47" t="s">
        <v>103</v>
      </c>
      <c r="E20" s="47"/>
      <c r="F20" s="47"/>
      <c r="G20" s="47"/>
      <c r="H20" s="47" t="s">
        <v>91</v>
      </c>
      <c r="I20" s="47" t="s">
        <v>101</v>
      </c>
      <c r="J20" s="47" t="s">
        <v>100</v>
      </c>
      <c r="K20" s="47" t="s">
        <v>100</v>
      </c>
      <c r="L20" s="47" t="s">
        <v>100</v>
      </c>
      <c r="M20" s="47" t="s">
        <v>100</v>
      </c>
    </row>
    <row r="21" spans="1:14" s="1" customFormat="1" ht="41.25" customHeight="1">
      <c r="A21" s="47" t="s">
        <v>133</v>
      </c>
      <c r="B21" s="6" t="s">
        <v>92</v>
      </c>
      <c r="C21" s="5"/>
      <c r="D21" s="47" t="s">
        <v>103</v>
      </c>
      <c r="E21" s="47"/>
      <c r="F21" s="47"/>
      <c r="G21" s="47"/>
      <c r="H21" s="47" t="s">
        <v>118</v>
      </c>
      <c r="I21" s="47" t="s">
        <v>152</v>
      </c>
      <c r="J21" s="47" t="s">
        <v>396</v>
      </c>
      <c r="K21" s="47" t="s">
        <v>114</v>
      </c>
      <c r="L21" s="47" t="s">
        <v>114</v>
      </c>
      <c r="M21" s="47" t="s">
        <v>114</v>
      </c>
    </row>
    <row r="22" spans="1:14" s="1" customFormat="1" ht="42" customHeight="1">
      <c r="A22" s="165" t="s">
        <v>140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7"/>
    </row>
    <row r="23" spans="1:14" s="1" customFormat="1" ht="58.5" customHeight="1">
      <c r="A23" s="47" t="s">
        <v>2</v>
      </c>
      <c r="B23" s="6" t="s">
        <v>121</v>
      </c>
      <c r="C23" s="47"/>
      <c r="D23" s="47" t="s">
        <v>103</v>
      </c>
      <c r="E23" s="47" t="s">
        <v>31</v>
      </c>
      <c r="F23" s="47" t="s">
        <v>105</v>
      </c>
      <c r="G23" s="47" t="s">
        <v>106</v>
      </c>
      <c r="H23" s="47" t="s">
        <v>107</v>
      </c>
      <c r="I23" s="47" t="s">
        <v>31</v>
      </c>
      <c r="J23" s="47" t="s">
        <v>115</v>
      </c>
      <c r="K23" s="47" t="s">
        <v>107</v>
      </c>
      <c r="L23" s="47" t="s">
        <v>107</v>
      </c>
      <c r="M23" s="47" t="s">
        <v>107</v>
      </c>
    </row>
    <row r="24" spans="1:14" s="1" customFormat="1" ht="67.5" customHeight="1">
      <c r="A24" s="47" t="s">
        <v>3</v>
      </c>
      <c r="B24" s="6" t="s">
        <v>122</v>
      </c>
      <c r="C24" s="47"/>
      <c r="D24" s="47" t="s">
        <v>103</v>
      </c>
      <c r="E24" s="47"/>
      <c r="F24" s="47"/>
      <c r="G24" s="47"/>
      <c r="H24" s="47" t="s">
        <v>116</v>
      </c>
      <c r="I24" s="47" t="s">
        <v>116</v>
      </c>
      <c r="J24" s="47" t="s">
        <v>108</v>
      </c>
      <c r="K24" s="47" t="s">
        <v>109</v>
      </c>
      <c r="L24" s="47" t="s">
        <v>110</v>
      </c>
      <c r="M24" s="47" t="s">
        <v>111</v>
      </c>
    </row>
    <row r="25" spans="1:14" s="1" customFormat="1" ht="65.25" customHeight="1">
      <c r="A25" s="47" t="s">
        <v>63</v>
      </c>
      <c r="B25" s="6" t="s">
        <v>59</v>
      </c>
      <c r="C25" s="47"/>
      <c r="D25" s="47" t="s">
        <v>25</v>
      </c>
      <c r="E25" s="47" t="s">
        <v>37</v>
      </c>
      <c r="F25" s="47" t="s">
        <v>69</v>
      </c>
      <c r="G25" s="47" t="s">
        <v>86</v>
      </c>
      <c r="H25" s="47" t="s">
        <v>119</v>
      </c>
      <c r="I25" s="47" t="s">
        <v>87</v>
      </c>
      <c r="J25" s="47" t="s">
        <v>87</v>
      </c>
      <c r="K25" s="47" t="s">
        <v>87</v>
      </c>
      <c r="L25" s="47" t="s">
        <v>87</v>
      </c>
      <c r="M25" s="47" t="s">
        <v>87</v>
      </c>
    </row>
    <row r="26" spans="1:14" s="1" customFormat="1" ht="33.75" customHeight="1">
      <c r="A26" s="165" t="s">
        <v>141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</row>
    <row r="27" spans="1:14" s="1" customFormat="1" ht="71.25" customHeight="1">
      <c r="A27" s="18" t="s">
        <v>2</v>
      </c>
      <c r="B27" s="6" t="s">
        <v>57</v>
      </c>
      <c r="C27" s="49"/>
      <c r="D27" s="47" t="s">
        <v>103</v>
      </c>
      <c r="E27" s="47" t="s">
        <v>89</v>
      </c>
      <c r="F27" s="47" t="s">
        <v>68</v>
      </c>
      <c r="G27" s="47" t="s">
        <v>85</v>
      </c>
      <c r="H27" s="47" t="s">
        <v>120</v>
      </c>
      <c r="I27" s="47" t="s">
        <v>81</v>
      </c>
      <c r="J27" s="47" t="s">
        <v>2</v>
      </c>
      <c r="K27" s="47" t="s">
        <v>31</v>
      </c>
      <c r="L27" s="47" t="s">
        <v>31</v>
      </c>
      <c r="M27" s="47" t="s">
        <v>27</v>
      </c>
      <c r="N27" s="162"/>
    </row>
    <row r="28" spans="1:14">
      <c r="N28" s="162"/>
    </row>
    <row r="29" spans="1:14">
      <c r="N29" s="162"/>
    </row>
    <row r="30" spans="1:14" ht="18.75">
      <c r="I30" s="85"/>
      <c r="N30" s="32"/>
    </row>
    <row r="31" spans="1:14" s="60" customFormat="1" ht="19.5">
      <c r="A31" s="160" t="s">
        <v>88</v>
      </c>
      <c r="B31" s="160"/>
      <c r="C31" s="160"/>
      <c r="K31" s="161" t="s">
        <v>113</v>
      </c>
      <c r="L31" s="161"/>
      <c r="M31" s="161"/>
    </row>
    <row r="32" spans="1:14" s="12" customFormat="1" ht="15.75"/>
    <row r="33" spans="14:14" s="12" customFormat="1" ht="15.75"/>
    <row r="34" spans="14:14" s="12" customFormat="1" ht="15.75"/>
    <row r="35" spans="14:14" s="12" customFormat="1" ht="15.75"/>
    <row r="36" spans="14:14" s="12" customFormat="1" ht="15.75"/>
    <row r="37" spans="14:14" ht="18.75">
      <c r="N37" s="32"/>
    </row>
    <row r="38" spans="14:14" ht="18.75">
      <c r="N38" s="32"/>
    </row>
    <row r="39" spans="14:14" ht="18.75">
      <c r="N39" s="32"/>
    </row>
    <row r="40" spans="14:14" ht="18.75">
      <c r="N40" s="32"/>
    </row>
    <row r="41" spans="14:14" ht="18.75">
      <c r="N41" s="32"/>
    </row>
    <row r="42" spans="14:14" ht="18.75">
      <c r="N42" s="32"/>
    </row>
    <row r="43" spans="14:14" ht="15.75">
      <c r="N43" s="12"/>
    </row>
    <row r="44" spans="14:14" ht="15.75">
      <c r="N44" s="12"/>
    </row>
    <row r="45" spans="14:14" ht="15.75">
      <c r="N45" s="12"/>
    </row>
    <row r="46" spans="14:14" ht="15.75">
      <c r="N46" s="12"/>
    </row>
  </sheetData>
  <mergeCells count="18">
    <mergeCell ref="I2:N2"/>
    <mergeCell ref="A2:E2"/>
    <mergeCell ref="A26:M26"/>
    <mergeCell ref="A12:M12"/>
    <mergeCell ref="A8:M8"/>
    <mergeCell ref="A4:M4"/>
    <mergeCell ref="A6:A7"/>
    <mergeCell ref="B6:B7"/>
    <mergeCell ref="D6:D7"/>
    <mergeCell ref="C6:C7"/>
    <mergeCell ref="A22:M22"/>
    <mergeCell ref="G6:M6"/>
    <mergeCell ref="E6:E7"/>
    <mergeCell ref="F6:F7"/>
    <mergeCell ref="I3:N3"/>
    <mergeCell ref="A31:C31"/>
    <mergeCell ref="K31:M31"/>
    <mergeCell ref="N27:N29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14"/>
  <sheetViews>
    <sheetView view="pageLayout" topLeftCell="A67" zoomScale="85" zoomScaleNormal="100" zoomScalePageLayoutView="85" workbookViewId="0">
      <selection activeCell="B76" sqref="B76:B79"/>
    </sheetView>
  </sheetViews>
  <sheetFormatPr defaultRowHeight="18.75"/>
  <cols>
    <col min="1" max="1" width="16.7109375" style="27" customWidth="1"/>
    <col min="2" max="2" width="24.7109375" style="3" customWidth="1"/>
    <col min="3" max="3" width="32.42578125" style="27" customWidth="1"/>
    <col min="4" max="4" width="12.85546875" style="3" customWidth="1"/>
    <col min="5" max="5" width="11.5703125" style="29" customWidth="1"/>
    <col min="6" max="6" width="11.28515625" style="28" customWidth="1"/>
    <col min="7" max="7" width="11.7109375" style="29" customWidth="1"/>
    <col min="8" max="8" width="11.85546875" style="29" customWidth="1"/>
    <col min="9" max="9" width="19.140625" style="28" hidden="1" customWidth="1"/>
    <col min="10" max="10" width="12.5703125" style="69" customWidth="1"/>
    <col min="11" max="11" width="11.5703125" style="69" customWidth="1"/>
    <col min="12" max="12" width="12.5703125" style="3" customWidth="1"/>
    <col min="13" max="13" width="2.140625" style="3" customWidth="1"/>
    <col min="14" max="237" width="9.140625" style="3"/>
    <col min="238" max="238" width="0" style="3" hidden="1" customWidth="1"/>
    <col min="239" max="239" width="21.7109375" style="3" customWidth="1"/>
    <col min="240" max="240" width="48.140625" style="3" customWidth="1"/>
    <col min="241" max="241" width="29.7109375" style="3" customWidth="1"/>
    <col min="242" max="242" width="11.42578125" style="3" customWidth="1"/>
    <col min="243" max="243" width="7.5703125" style="3" customWidth="1"/>
    <col min="244" max="244" width="11.7109375" style="3" customWidth="1"/>
    <col min="245" max="245" width="7.140625" style="3" customWidth="1"/>
    <col min="246" max="246" width="0" style="3" hidden="1" customWidth="1"/>
    <col min="247" max="248" width="19.140625" style="3" customWidth="1"/>
    <col min="249" max="249" width="20.42578125" style="3" customWidth="1"/>
    <col min="250" max="250" width="20.85546875" style="3" customWidth="1"/>
    <col min="251" max="252" width="22" style="3" customWidth="1"/>
    <col min="253" max="253" width="0" style="3" hidden="1" customWidth="1"/>
    <col min="254" max="254" width="27.28515625" style="3" customWidth="1"/>
    <col min="255" max="255" width="18.140625" style="3" bestFit="1" customWidth="1"/>
    <col min="256" max="256" width="11.42578125" style="3" bestFit="1" customWidth="1"/>
    <col min="257" max="257" width="11.5703125" style="3" bestFit="1" customWidth="1"/>
    <col min="258" max="493" width="9.140625" style="3"/>
    <col min="494" max="494" width="0" style="3" hidden="1" customWidth="1"/>
    <col min="495" max="495" width="21.7109375" style="3" customWidth="1"/>
    <col min="496" max="496" width="48.140625" style="3" customWidth="1"/>
    <col min="497" max="497" width="29.7109375" style="3" customWidth="1"/>
    <col min="498" max="498" width="11.42578125" style="3" customWidth="1"/>
    <col min="499" max="499" width="7.5703125" style="3" customWidth="1"/>
    <col min="500" max="500" width="11.7109375" style="3" customWidth="1"/>
    <col min="501" max="501" width="7.140625" style="3" customWidth="1"/>
    <col min="502" max="502" width="0" style="3" hidden="1" customWidth="1"/>
    <col min="503" max="504" width="19.140625" style="3" customWidth="1"/>
    <col min="505" max="505" width="20.42578125" style="3" customWidth="1"/>
    <col min="506" max="506" width="20.85546875" style="3" customWidth="1"/>
    <col min="507" max="508" width="22" style="3" customWidth="1"/>
    <col min="509" max="509" width="0" style="3" hidden="1" customWidth="1"/>
    <col min="510" max="510" width="27.28515625" style="3" customWidth="1"/>
    <col min="511" max="511" width="18.140625" style="3" bestFit="1" customWidth="1"/>
    <col min="512" max="512" width="11.42578125" style="3" bestFit="1" customWidth="1"/>
    <col min="513" max="513" width="11.5703125" style="3" bestFit="1" customWidth="1"/>
    <col min="514" max="749" width="9.140625" style="3"/>
    <col min="750" max="750" width="0" style="3" hidden="1" customWidth="1"/>
    <col min="751" max="751" width="21.7109375" style="3" customWidth="1"/>
    <col min="752" max="752" width="48.140625" style="3" customWidth="1"/>
    <col min="753" max="753" width="29.7109375" style="3" customWidth="1"/>
    <col min="754" max="754" width="11.42578125" style="3" customWidth="1"/>
    <col min="755" max="755" width="7.5703125" style="3" customWidth="1"/>
    <col min="756" max="756" width="11.7109375" style="3" customWidth="1"/>
    <col min="757" max="757" width="7.140625" style="3" customWidth="1"/>
    <col min="758" max="758" width="0" style="3" hidden="1" customWidth="1"/>
    <col min="759" max="760" width="19.140625" style="3" customWidth="1"/>
    <col min="761" max="761" width="20.42578125" style="3" customWidth="1"/>
    <col min="762" max="762" width="20.85546875" style="3" customWidth="1"/>
    <col min="763" max="764" width="22" style="3" customWidth="1"/>
    <col min="765" max="765" width="0" style="3" hidden="1" customWidth="1"/>
    <col min="766" max="766" width="27.28515625" style="3" customWidth="1"/>
    <col min="767" max="767" width="18.140625" style="3" bestFit="1" customWidth="1"/>
    <col min="768" max="768" width="11.42578125" style="3" bestFit="1" customWidth="1"/>
    <col min="769" max="769" width="11.5703125" style="3" bestFit="1" customWidth="1"/>
    <col min="770" max="1005" width="9.140625" style="3"/>
    <col min="1006" max="1006" width="0" style="3" hidden="1" customWidth="1"/>
    <col min="1007" max="1007" width="21.7109375" style="3" customWidth="1"/>
    <col min="1008" max="1008" width="48.140625" style="3" customWidth="1"/>
    <col min="1009" max="1009" width="29.7109375" style="3" customWidth="1"/>
    <col min="1010" max="1010" width="11.42578125" style="3" customWidth="1"/>
    <col min="1011" max="1011" width="7.5703125" style="3" customWidth="1"/>
    <col min="1012" max="1012" width="11.7109375" style="3" customWidth="1"/>
    <col min="1013" max="1013" width="7.140625" style="3" customWidth="1"/>
    <col min="1014" max="1014" width="0" style="3" hidden="1" customWidth="1"/>
    <col min="1015" max="1016" width="19.140625" style="3" customWidth="1"/>
    <col min="1017" max="1017" width="20.42578125" style="3" customWidth="1"/>
    <col min="1018" max="1018" width="20.85546875" style="3" customWidth="1"/>
    <col min="1019" max="1020" width="22" style="3" customWidth="1"/>
    <col min="1021" max="1021" width="0" style="3" hidden="1" customWidth="1"/>
    <col min="1022" max="1022" width="27.28515625" style="3" customWidth="1"/>
    <col min="1023" max="1023" width="18.140625" style="3" bestFit="1" customWidth="1"/>
    <col min="1024" max="1024" width="11.42578125" style="3" bestFit="1" customWidth="1"/>
    <col min="1025" max="1025" width="11.5703125" style="3" bestFit="1" customWidth="1"/>
    <col min="1026" max="1261" width="9.140625" style="3"/>
    <col min="1262" max="1262" width="0" style="3" hidden="1" customWidth="1"/>
    <col min="1263" max="1263" width="21.7109375" style="3" customWidth="1"/>
    <col min="1264" max="1264" width="48.140625" style="3" customWidth="1"/>
    <col min="1265" max="1265" width="29.7109375" style="3" customWidth="1"/>
    <col min="1266" max="1266" width="11.42578125" style="3" customWidth="1"/>
    <col min="1267" max="1267" width="7.5703125" style="3" customWidth="1"/>
    <col min="1268" max="1268" width="11.7109375" style="3" customWidth="1"/>
    <col min="1269" max="1269" width="7.140625" style="3" customWidth="1"/>
    <col min="1270" max="1270" width="0" style="3" hidden="1" customWidth="1"/>
    <col min="1271" max="1272" width="19.140625" style="3" customWidth="1"/>
    <col min="1273" max="1273" width="20.42578125" style="3" customWidth="1"/>
    <col min="1274" max="1274" width="20.85546875" style="3" customWidth="1"/>
    <col min="1275" max="1276" width="22" style="3" customWidth="1"/>
    <col min="1277" max="1277" width="0" style="3" hidden="1" customWidth="1"/>
    <col min="1278" max="1278" width="27.28515625" style="3" customWidth="1"/>
    <col min="1279" max="1279" width="18.140625" style="3" bestFit="1" customWidth="1"/>
    <col min="1280" max="1280" width="11.42578125" style="3" bestFit="1" customWidth="1"/>
    <col min="1281" max="1281" width="11.5703125" style="3" bestFit="1" customWidth="1"/>
    <col min="1282" max="1517" width="9.140625" style="3"/>
    <col min="1518" max="1518" width="0" style="3" hidden="1" customWidth="1"/>
    <col min="1519" max="1519" width="21.7109375" style="3" customWidth="1"/>
    <col min="1520" max="1520" width="48.140625" style="3" customWidth="1"/>
    <col min="1521" max="1521" width="29.7109375" style="3" customWidth="1"/>
    <col min="1522" max="1522" width="11.42578125" style="3" customWidth="1"/>
    <col min="1523" max="1523" width="7.5703125" style="3" customWidth="1"/>
    <col min="1524" max="1524" width="11.7109375" style="3" customWidth="1"/>
    <col min="1525" max="1525" width="7.140625" style="3" customWidth="1"/>
    <col min="1526" max="1526" width="0" style="3" hidden="1" customWidth="1"/>
    <col min="1527" max="1528" width="19.140625" style="3" customWidth="1"/>
    <col min="1529" max="1529" width="20.42578125" style="3" customWidth="1"/>
    <col min="1530" max="1530" width="20.85546875" style="3" customWidth="1"/>
    <col min="1531" max="1532" width="22" style="3" customWidth="1"/>
    <col min="1533" max="1533" width="0" style="3" hidden="1" customWidth="1"/>
    <col min="1534" max="1534" width="27.28515625" style="3" customWidth="1"/>
    <col min="1535" max="1535" width="18.140625" style="3" bestFit="1" customWidth="1"/>
    <col min="1536" max="1536" width="11.42578125" style="3" bestFit="1" customWidth="1"/>
    <col min="1537" max="1537" width="11.5703125" style="3" bestFit="1" customWidth="1"/>
    <col min="1538" max="1773" width="9.140625" style="3"/>
    <col min="1774" max="1774" width="0" style="3" hidden="1" customWidth="1"/>
    <col min="1775" max="1775" width="21.7109375" style="3" customWidth="1"/>
    <col min="1776" max="1776" width="48.140625" style="3" customWidth="1"/>
    <col min="1777" max="1777" width="29.7109375" style="3" customWidth="1"/>
    <col min="1778" max="1778" width="11.42578125" style="3" customWidth="1"/>
    <col min="1779" max="1779" width="7.5703125" style="3" customWidth="1"/>
    <col min="1780" max="1780" width="11.7109375" style="3" customWidth="1"/>
    <col min="1781" max="1781" width="7.140625" style="3" customWidth="1"/>
    <col min="1782" max="1782" width="0" style="3" hidden="1" customWidth="1"/>
    <col min="1783" max="1784" width="19.140625" style="3" customWidth="1"/>
    <col min="1785" max="1785" width="20.42578125" style="3" customWidth="1"/>
    <col min="1786" max="1786" width="20.85546875" style="3" customWidth="1"/>
    <col min="1787" max="1788" width="22" style="3" customWidth="1"/>
    <col min="1789" max="1789" width="0" style="3" hidden="1" customWidth="1"/>
    <col min="1790" max="1790" width="27.28515625" style="3" customWidth="1"/>
    <col min="1791" max="1791" width="18.140625" style="3" bestFit="1" customWidth="1"/>
    <col min="1792" max="1792" width="11.42578125" style="3" bestFit="1" customWidth="1"/>
    <col min="1793" max="1793" width="11.5703125" style="3" bestFit="1" customWidth="1"/>
    <col min="1794" max="2029" width="9.140625" style="3"/>
    <col min="2030" max="2030" width="0" style="3" hidden="1" customWidth="1"/>
    <col min="2031" max="2031" width="21.7109375" style="3" customWidth="1"/>
    <col min="2032" max="2032" width="48.140625" style="3" customWidth="1"/>
    <col min="2033" max="2033" width="29.7109375" style="3" customWidth="1"/>
    <col min="2034" max="2034" width="11.42578125" style="3" customWidth="1"/>
    <col min="2035" max="2035" width="7.5703125" style="3" customWidth="1"/>
    <col min="2036" max="2036" width="11.7109375" style="3" customWidth="1"/>
    <col min="2037" max="2037" width="7.140625" style="3" customWidth="1"/>
    <col min="2038" max="2038" width="0" style="3" hidden="1" customWidth="1"/>
    <col min="2039" max="2040" width="19.140625" style="3" customWidth="1"/>
    <col min="2041" max="2041" width="20.42578125" style="3" customWidth="1"/>
    <col min="2042" max="2042" width="20.85546875" style="3" customWidth="1"/>
    <col min="2043" max="2044" width="22" style="3" customWidth="1"/>
    <col min="2045" max="2045" width="0" style="3" hidden="1" customWidth="1"/>
    <col min="2046" max="2046" width="27.28515625" style="3" customWidth="1"/>
    <col min="2047" max="2047" width="18.140625" style="3" bestFit="1" customWidth="1"/>
    <col min="2048" max="2048" width="11.42578125" style="3" bestFit="1" customWidth="1"/>
    <col min="2049" max="2049" width="11.5703125" style="3" bestFit="1" customWidth="1"/>
    <col min="2050" max="2285" width="9.140625" style="3"/>
    <col min="2286" max="2286" width="0" style="3" hidden="1" customWidth="1"/>
    <col min="2287" max="2287" width="21.7109375" style="3" customWidth="1"/>
    <col min="2288" max="2288" width="48.140625" style="3" customWidth="1"/>
    <col min="2289" max="2289" width="29.7109375" style="3" customWidth="1"/>
    <col min="2290" max="2290" width="11.42578125" style="3" customWidth="1"/>
    <col min="2291" max="2291" width="7.5703125" style="3" customWidth="1"/>
    <col min="2292" max="2292" width="11.7109375" style="3" customWidth="1"/>
    <col min="2293" max="2293" width="7.140625" style="3" customWidth="1"/>
    <col min="2294" max="2294" width="0" style="3" hidden="1" customWidth="1"/>
    <col min="2295" max="2296" width="19.140625" style="3" customWidth="1"/>
    <col min="2297" max="2297" width="20.42578125" style="3" customWidth="1"/>
    <col min="2298" max="2298" width="20.85546875" style="3" customWidth="1"/>
    <col min="2299" max="2300" width="22" style="3" customWidth="1"/>
    <col min="2301" max="2301" width="0" style="3" hidden="1" customWidth="1"/>
    <col min="2302" max="2302" width="27.28515625" style="3" customWidth="1"/>
    <col min="2303" max="2303" width="18.140625" style="3" bestFit="1" customWidth="1"/>
    <col min="2304" max="2304" width="11.42578125" style="3" bestFit="1" customWidth="1"/>
    <col min="2305" max="2305" width="11.5703125" style="3" bestFit="1" customWidth="1"/>
    <col min="2306" max="2541" width="9.140625" style="3"/>
    <col min="2542" max="2542" width="0" style="3" hidden="1" customWidth="1"/>
    <col min="2543" max="2543" width="21.7109375" style="3" customWidth="1"/>
    <col min="2544" max="2544" width="48.140625" style="3" customWidth="1"/>
    <col min="2545" max="2545" width="29.7109375" style="3" customWidth="1"/>
    <col min="2546" max="2546" width="11.42578125" style="3" customWidth="1"/>
    <col min="2547" max="2547" width="7.5703125" style="3" customWidth="1"/>
    <col min="2548" max="2548" width="11.7109375" style="3" customWidth="1"/>
    <col min="2549" max="2549" width="7.140625" style="3" customWidth="1"/>
    <col min="2550" max="2550" width="0" style="3" hidden="1" customWidth="1"/>
    <col min="2551" max="2552" width="19.140625" style="3" customWidth="1"/>
    <col min="2553" max="2553" width="20.42578125" style="3" customWidth="1"/>
    <col min="2554" max="2554" width="20.85546875" style="3" customWidth="1"/>
    <col min="2555" max="2556" width="22" style="3" customWidth="1"/>
    <col min="2557" max="2557" width="0" style="3" hidden="1" customWidth="1"/>
    <col min="2558" max="2558" width="27.28515625" style="3" customWidth="1"/>
    <col min="2559" max="2559" width="18.140625" style="3" bestFit="1" customWidth="1"/>
    <col min="2560" max="2560" width="11.42578125" style="3" bestFit="1" customWidth="1"/>
    <col min="2561" max="2561" width="11.5703125" style="3" bestFit="1" customWidth="1"/>
    <col min="2562" max="2797" width="9.140625" style="3"/>
    <col min="2798" max="2798" width="0" style="3" hidden="1" customWidth="1"/>
    <col min="2799" max="2799" width="21.7109375" style="3" customWidth="1"/>
    <col min="2800" max="2800" width="48.140625" style="3" customWidth="1"/>
    <col min="2801" max="2801" width="29.7109375" style="3" customWidth="1"/>
    <col min="2802" max="2802" width="11.42578125" style="3" customWidth="1"/>
    <col min="2803" max="2803" width="7.5703125" style="3" customWidth="1"/>
    <col min="2804" max="2804" width="11.7109375" style="3" customWidth="1"/>
    <col min="2805" max="2805" width="7.140625" style="3" customWidth="1"/>
    <col min="2806" max="2806" width="0" style="3" hidden="1" customWidth="1"/>
    <col min="2807" max="2808" width="19.140625" style="3" customWidth="1"/>
    <col min="2809" max="2809" width="20.42578125" style="3" customWidth="1"/>
    <col min="2810" max="2810" width="20.85546875" style="3" customWidth="1"/>
    <col min="2811" max="2812" width="22" style="3" customWidth="1"/>
    <col min="2813" max="2813" width="0" style="3" hidden="1" customWidth="1"/>
    <col min="2814" max="2814" width="27.28515625" style="3" customWidth="1"/>
    <col min="2815" max="2815" width="18.140625" style="3" bestFit="1" customWidth="1"/>
    <col min="2816" max="2816" width="11.42578125" style="3" bestFit="1" customWidth="1"/>
    <col min="2817" max="2817" width="11.5703125" style="3" bestFit="1" customWidth="1"/>
    <col min="2818" max="3053" width="9.140625" style="3"/>
    <col min="3054" max="3054" width="0" style="3" hidden="1" customWidth="1"/>
    <col min="3055" max="3055" width="21.7109375" style="3" customWidth="1"/>
    <col min="3056" max="3056" width="48.140625" style="3" customWidth="1"/>
    <col min="3057" max="3057" width="29.7109375" style="3" customWidth="1"/>
    <col min="3058" max="3058" width="11.42578125" style="3" customWidth="1"/>
    <col min="3059" max="3059" width="7.5703125" style="3" customWidth="1"/>
    <col min="3060" max="3060" width="11.7109375" style="3" customWidth="1"/>
    <col min="3061" max="3061" width="7.140625" style="3" customWidth="1"/>
    <col min="3062" max="3062" width="0" style="3" hidden="1" customWidth="1"/>
    <col min="3063" max="3064" width="19.140625" style="3" customWidth="1"/>
    <col min="3065" max="3065" width="20.42578125" style="3" customWidth="1"/>
    <col min="3066" max="3066" width="20.85546875" style="3" customWidth="1"/>
    <col min="3067" max="3068" width="22" style="3" customWidth="1"/>
    <col min="3069" max="3069" width="0" style="3" hidden="1" customWidth="1"/>
    <col min="3070" max="3070" width="27.28515625" style="3" customWidth="1"/>
    <col min="3071" max="3071" width="18.140625" style="3" bestFit="1" customWidth="1"/>
    <col min="3072" max="3072" width="11.42578125" style="3" bestFit="1" customWidth="1"/>
    <col min="3073" max="3073" width="11.5703125" style="3" bestFit="1" customWidth="1"/>
    <col min="3074" max="3309" width="9.140625" style="3"/>
    <col min="3310" max="3310" width="0" style="3" hidden="1" customWidth="1"/>
    <col min="3311" max="3311" width="21.7109375" style="3" customWidth="1"/>
    <col min="3312" max="3312" width="48.140625" style="3" customWidth="1"/>
    <col min="3313" max="3313" width="29.7109375" style="3" customWidth="1"/>
    <col min="3314" max="3314" width="11.42578125" style="3" customWidth="1"/>
    <col min="3315" max="3315" width="7.5703125" style="3" customWidth="1"/>
    <col min="3316" max="3316" width="11.7109375" style="3" customWidth="1"/>
    <col min="3317" max="3317" width="7.140625" style="3" customWidth="1"/>
    <col min="3318" max="3318" width="0" style="3" hidden="1" customWidth="1"/>
    <col min="3319" max="3320" width="19.140625" style="3" customWidth="1"/>
    <col min="3321" max="3321" width="20.42578125" style="3" customWidth="1"/>
    <col min="3322" max="3322" width="20.85546875" style="3" customWidth="1"/>
    <col min="3323" max="3324" width="22" style="3" customWidth="1"/>
    <col min="3325" max="3325" width="0" style="3" hidden="1" customWidth="1"/>
    <col min="3326" max="3326" width="27.28515625" style="3" customWidth="1"/>
    <col min="3327" max="3327" width="18.140625" style="3" bestFit="1" customWidth="1"/>
    <col min="3328" max="3328" width="11.42578125" style="3" bestFit="1" customWidth="1"/>
    <col min="3329" max="3329" width="11.5703125" style="3" bestFit="1" customWidth="1"/>
    <col min="3330" max="3565" width="9.140625" style="3"/>
    <col min="3566" max="3566" width="0" style="3" hidden="1" customWidth="1"/>
    <col min="3567" max="3567" width="21.7109375" style="3" customWidth="1"/>
    <col min="3568" max="3568" width="48.140625" style="3" customWidth="1"/>
    <col min="3569" max="3569" width="29.7109375" style="3" customWidth="1"/>
    <col min="3570" max="3570" width="11.42578125" style="3" customWidth="1"/>
    <col min="3571" max="3571" width="7.5703125" style="3" customWidth="1"/>
    <col min="3572" max="3572" width="11.7109375" style="3" customWidth="1"/>
    <col min="3573" max="3573" width="7.140625" style="3" customWidth="1"/>
    <col min="3574" max="3574" width="0" style="3" hidden="1" customWidth="1"/>
    <col min="3575" max="3576" width="19.140625" style="3" customWidth="1"/>
    <col min="3577" max="3577" width="20.42578125" style="3" customWidth="1"/>
    <col min="3578" max="3578" width="20.85546875" style="3" customWidth="1"/>
    <col min="3579" max="3580" width="22" style="3" customWidth="1"/>
    <col min="3581" max="3581" width="0" style="3" hidden="1" customWidth="1"/>
    <col min="3582" max="3582" width="27.28515625" style="3" customWidth="1"/>
    <col min="3583" max="3583" width="18.140625" style="3" bestFit="1" customWidth="1"/>
    <col min="3584" max="3584" width="11.42578125" style="3" bestFit="1" customWidth="1"/>
    <col min="3585" max="3585" width="11.5703125" style="3" bestFit="1" customWidth="1"/>
    <col min="3586" max="3821" width="9.140625" style="3"/>
    <col min="3822" max="3822" width="0" style="3" hidden="1" customWidth="1"/>
    <col min="3823" max="3823" width="21.7109375" style="3" customWidth="1"/>
    <col min="3824" max="3824" width="48.140625" style="3" customWidth="1"/>
    <col min="3825" max="3825" width="29.7109375" style="3" customWidth="1"/>
    <col min="3826" max="3826" width="11.42578125" style="3" customWidth="1"/>
    <col min="3827" max="3827" width="7.5703125" style="3" customWidth="1"/>
    <col min="3828" max="3828" width="11.7109375" style="3" customWidth="1"/>
    <col min="3829" max="3829" width="7.140625" style="3" customWidth="1"/>
    <col min="3830" max="3830" width="0" style="3" hidden="1" customWidth="1"/>
    <col min="3831" max="3832" width="19.140625" style="3" customWidth="1"/>
    <col min="3833" max="3833" width="20.42578125" style="3" customWidth="1"/>
    <col min="3834" max="3834" width="20.85546875" style="3" customWidth="1"/>
    <col min="3835" max="3836" width="22" style="3" customWidth="1"/>
    <col min="3837" max="3837" width="0" style="3" hidden="1" customWidth="1"/>
    <col min="3838" max="3838" width="27.28515625" style="3" customWidth="1"/>
    <col min="3839" max="3839" width="18.140625" style="3" bestFit="1" customWidth="1"/>
    <col min="3840" max="3840" width="11.42578125" style="3" bestFit="1" customWidth="1"/>
    <col min="3841" max="3841" width="11.5703125" style="3" bestFit="1" customWidth="1"/>
    <col min="3842" max="4077" width="9.140625" style="3"/>
    <col min="4078" max="4078" width="0" style="3" hidden="1" customWidth="1"/>
    <col min="4079" max="4079" width="21.7109375" style="3" customWidth="1"/>
    <col min="4080" max="4080" width="48.140625" style="3" customWidth="1"/>
    <col min="4081" max="4081" width="29.7109375" style="3" customWidth="1"/>
    <col min="4082" max="4082" width="11.42578125" style="3" customWidth="1"/>
    <col min="4083" max="4083" width="7.5703125" style="3" customWidth="1"/>
    <col min="4084" max="4084" width="11.7109375" style="3" customWidth="1"/>
    <col min="4085" max="4085" width="7.140625" style="3" customWidth="1"/>
    <col min="4086" max="4086" width="0" style="3" hidden="1" customWidth="1"/>
    <col min="4087" max="4088" width="19.140625" style="3" customWidth="1"/>
    <col min="4089" max="4089" width="20.42578125" style="3" customWidth="1"/>
    <col min="4090" max="4090" width="20.85546875" style="3" customWidth="1"/>
    <col min="4091" max="4092" width="22" style="3" customWidth="1"/>
    <col min="4093" max="4093" width="0" style="3" hidden="1" customWidth="1"/>
    <col min="4094" max="4094" width="27.28515625" style="3" customWidth="1"/>
    <col min="4095" max="4095" width="18.140625" style="3" bestFit="1" customWidth="1"/>
    <col min="4096" max="4096" width="11.42578125" style="3" bestFit="1" customWidth="1"/>
    <col min="4097" max="4097" width="11.5703125" style="3" bestFit="1" customWidth="1"/>
    <col min="4098" max="4333" width="9.140625" style="3"/>
    <col min="4334" max="4334" width="0" style="3" hidden="1" customWidth="1"/>
    <col min="4335" max="4335" width="21.7109375" style="3" customWidth="1"/>
    <col min="4336" max="4336" width="48.140625" style="3" customWidth="1"/>
    <col min="4337" max="4337" width="29.7109375" style="3" customWidth="1"/>
    <col min="4338" max="4338" width="11.42578125" style="3" customWidth="1"/>
    <col min="4339" max="4339" width="7.5703125" style="3" customWidth="1"/>
    <col min="4340" max="4340" width="11.7109375" style="3" customWidth="1"/>
    <col min="4341" max="4341" width="7.140625" style="3" customWidth="1"/>
    <col min="4342" max="4342" width="0" style="3" hidden="1" customWidth="1"/>
    <col min="4343" max="4344" width="19.140625" style="3" customWidth="1"/>
    <col min="4345" max="4345" width="20.42578125" style="3" customWidth="1"/>
    <col min="4346" max="4346" width="20.85546875" style="3" customWidth="1"/>
    <col min="4347" max="4348" width="22" style="3" customWidth="1"/>
    <col min="4349" max="4349" width="0" style="3" hidden="1" customWidth="1"/>
    <col min="4350" max="4350" width="27.28515625" style="3" customWidth="1"/>
    <col min="4351" max="4351" width="18.140625" style="3" bestFit="1" customWidth="1"/>
    <col min="4352" max="4352" width="11.42578125" style="3" bestFit="1" customWidth="1"/>
    <col min="4353" max="4353" width="11.5703125" style="3" bestFit="1" customWidth="1"/>
    <col min="4354" max="4589" width="9.140625" style="3"/>
    <col min="4590" max="4590" width="0" style="3" hidden="1" customWidth="1"/>
    <col min="4591" max="4591" width="21.7109375" style="3" customWidth="1"/>
    <col min="4592" max="4592" width="48.140625" style="3" customWidth="1"/>
    <col min="4593" max="4593" width="29.7109375" style="3" customWidth="1"/>
    <col min="4594" max="4594" width="11.42578125" style="3" customWidth="1"/>
    <col min="4595" max="4595" width="7.5703125" style="3" customWidth="1"/>
    <col min="4596" max="4596" width="11.7109375" style="3" customWidth="1"/>
    <col min="4597" max="4597" width="7.140625" style="3" customWidth="1"/>
    <col min="4598" max="4598" width="0" style="3" hidden="1" customWidth="1"/>
    <col min="4599" max="4600" width="19.140625" style="3" customWidth="1"/>
    <col min="4601" max="4601" width="20.42578125" style="3" customWidth="1"/>
    <col min="4602" max="4602" width="20.85546875" style="3" customWidth="1"/>
    <col min="4603" max="4604" width="22" style="3" customWidth="1"/>
    <col min="4605" max="4605" width="0" style="3" hidden="1" customWidth="1"/>
    <col min="4606" max="4606" width="27.28515625" style="3" customWidth="1"/>
    <col min="4607" max="4607" width="18.140625" style="3" bestFit="1" customWidth="1"/>
    <col min="4608" max="4608" width="11.42578125" style="3" bestFit="1" customWidth="1"/>
    <col min="4609" max="4609" width="11.5703125" style="3" bestFit="1" customWidth="1"/>
    <col min="4610" max="4845" width="9.140625" style="3"/>
    <col min="4846" max="4846" width="0" style="3" hidden="1" customWidth="1"/>
    <col min="4847" max="4847" width="21.7109375" style="3" customWidth="1"/>
    <col min="4848" max="4848" width="48.140625" style="3" customWidth="1"/>
    <col min="4849" max="4849" width="29.7109375" style="3" customWidth="1"/>
    <col min="4850" max="4850" width="11.42578125" style="3" customWidth="1"/>
    <col min="4851" max="4851" width="7.5703125" style="3" customWidth="1"/>
    <col min="4852" max="4852" width="11.7109375" style="3" customWidth="1"/>
    <col min="4853" max="4853" width="7.140625" style="3" customWidth="1"/>
    <col min="4854" max="4854" width="0" style="3" hidden="1" customWidth="1"/>
    <col min="4855" max="4856" width="19.140625" style="3" customWidth="1"/>
    <col min="4857" max="4857" width="20.42578125" style="3" customWidth="1"/>
    <col min="4858" max="4858" width="20.85546875" style="3" customWidth="1"/>
    <col min="4859" max="4860" width="22" style="3" customWidth="1"/>
    <col min="4861" max="4861" width="0" style="3" hidden="1" customWidth="1"/>
    <col min="4862" max="4862" width="27.28515625" style="3" customWidth="1"/>
    <col min="4863" max="4863" width="18.140625" style="3" bestFit="1" customWidth="1"/>
    <col min="4864" max="4864" width="11.42578125" style="3" bestFit="1" customWidth="1"/>
    <col min="4865" max="4865" width="11.5703125" style="3" bestFit="1" customWidth="1"/>
    <col min="4866" max="5101" width="9.140625" style="3"/>
    <col min="5102" max="5102" width="0" style="3" hidden="1" customWidth="1"/>
    <col min="5103" max="5103" width="21.7109375" style="3" customWidth="1"/>
    <col min="5104" max="5104" width="48.140625" style="3" customWidth="1"/>
    <col min="5105" max="5105" width="29.7109375" style="3" customWidth="1"/>
    <col min="5106" max="5106" width="11.42578125" style="3" customWidth="1"/>
    <col min="5107" max="5107" width="7.5703125" style="3" customWidth="1"/>
    <col min="5108" max="5108" width="11.7109375" style="3" customWidth="1"/>
    <col min="5109" max="5109" width="7.140625" style="3" customWidth="1"/>
    <col min="5110" max="5110" width="0" style="3" hidden="1" customWidth="1"/>
    <col min="5111" max="5112" width="19.140625" style="3" customWidth="1"/>
    <col min="5113" max="5113" width="20.42578125" style="3" customWidth="1"/>
    <col min="5114" max="5114" width="20.85546875" style="3" customWidth="1"/>
    <col min="5115" max="5116" width="22" style="3" customWidth="1"/>
    <col min="5117" max="5117" width="0" style="3" hidden="1" customWidth="1"/>
    <col min="5118" max="5118" width="27.28515625" style="3" customWidth="1"/>
    <col min="5119" max="5119" width="18.140625" style="3" bestFit="1" customWidth="1"/>
    <col min="5120" max="5120" width="11.42578125" style="3" bestFit="1" customWidth="1"/>
    <col min="5121" max="5121" width="11.5703125" style="3" bestFit="1" customWidth="1"/>
    <col min="5122" max="5357" width="9.140625" style="3"/>
    <col min="5358" max="5358" width="0" style="3" hidden="1" customWidth="1"/>
    <col min="5359" max="5359" width="21.7109375" style="3" customWidth="1"/>
    <col min="5360" max="5360" width="48.140625" style="3" customWidth="1"/>
    <col min="5361" max="5361" width="29.7109375" style="3" customWidth="1"/>
    <col min="5362" max="5362" width="11.42578125" style="3" customWidth="1"/>
    <col min="5363" max="5363" width="7.5703125" style="3" customWidth="1"/>
    <col min="5364" max="5364" width="11.7109375" style="3" customWidth="1"/>
    <col min="5365" max="5365" width="7.140625" style="3" customWidth="1"/>
    <col min="5366" max="5366" width="0" style="3" hidden="1" customWidth="1"/>
    <col min="5367" max="5368" width="19.140625" style="3" customWidth="1"/>
    <col min="5369" max="5369" width="20.42578125" style="3" customWidth="1"/>
    <col min="5370" max="5370" width="20.85546875" style="3" customWidth="1"/>
    <col min="5371" max="5372" width="22" style="3" customWidth="1"/>
    <col min="5373" max="5373" width="0" style="3" hidden="1" customWidth="1"/>
    <col min="5374" max="5374" width="27.28515625" style="3" customWidth="1"/>
    <col min="5375" max="5375" width="18.140625" style="3" bestFit="1" customWidth="1"/>
    <col min="5376" max="5376" width="11.42578125" style="3" bestFit="1" customWidth="1"/>
    <col min="5377" max="5377" width="11.5703125" style="3" bestFit="1" customWidth="1"/>
    <col min="5378" max="5613" width="9.140625" style="3"/>
    <col min="5614" max="5614" width="0" style="3" hidden="1" customWidth="1"/>
    <col min="5615" max="5615" width="21.7109375" style="3" customWidth="1"/>
    <col min="5616" max="5616" width="48.140625" style="3" customWidth="1"/>
    <col min="5617" max="5617" width="29.7109375" style="3" customWidth="1"/>
    <col min="5618" max="5618" width="11.42578125" style="3" customWidth="1"/>
    <col min="5619" max="5619" width="7.5703125" style="3" customWidth="1"/>
    <col min="5620" max="5620" width="11.7109375" style="3" customWidth="1"/>
    <col min="5621" max="5621" width="7.140625" style="3" customWidth="1"/>
    <col min="5622" max="5622" width="0" style="3" hidden="1" customWidth="1"/>
    <col min="5623" max="5624" width="19.140625" style="3" customWidth="1"/>
    <col min="5625" max="5625" width="20.42578125" style="3" customWidth="1"/>
    <col min="5626" max="5626" width="20.85546875" style="3" customWidth="1"/>
    <col min="5627" max="5628" width="22" style="3" customWidth="1"/>
    <col min="5629" max="5629" width="0" style="3" hidden="1" customWidth="1"/>
    <col min="5630" max="5630" width="27.28515625" style="3" customWidth="1"/>
    <col min="5631" max="5631" width="18.140625" style="3" bestFit="1" customWidth="1"/>
    <col min="5632" max="5632" width="11.42578125" style="3" bestFit="1" customWidth="1"/>
    <col min="5633" max="5633" width="11.5703125" style="3" bestFit="1" customWidth="1"/>
    <col min="5634" max="5869" width="9.140625" style="3"/>
    <col min="5870" max="5870" width="0" style="3" hidden="1" customWidth="1"/>
    <col min="5871" max="5871" width="21.7109375" style="3" customWidth="1"/>
    <col min="5872" max="5872" width="48.140625" style="3" customWidth="1"/>
    <col min="5873" max="5873" width="29.7109375" style="3" customWidth="1"/>
    <col min="5874" max="5874" width="11.42578125" style="3" customWidth="1"/>
    <col min="5875" max="5875" width="7.5703125" style="3" customWidth="1"/>
    <col min="5876" max="5876" width="11.7109375" style="3" customWidth="1"/>
    <col min="5877" max="5877" width="7.140625" style="3" customWidth="1"/>
    <col min="5878" max="5878" width="0" style="3" hidden="1" customWidth="1"/>
    <col min="5879" max="5880" width="19.140625" style="3" customWidth="1"/>
    <col min="5881" max="5881" width="20.42578125" style="3" customWidth="1"/>
    <col min="5882" max="5882" width="20.85546875" style="3" customWidth="1"/>
    <col min="5883" max="5884" width="22" style="3" customWidth="1"/>
    <col min="5885" max="5885" width="0" style="3" hidden="1" customWidth="1"/>
    <col min="5886" max="5886" width="27.28515625" style="3" customWidth="1"/>
    <col min="5887" max="5887" width="18.140625" style="3" bestFit="1" customWidth="1"/>
    <col min="5888" max="5888" width="11.42578125" style="3" bestFit="1" customWidth="1"/>
    <col min="5889" max="5889" width="11.5703125" style="3" bestFit="1" customWidth="1"/>
    <col min="5890" max="6125" width="9.140625" style="3"/>
    <col min="6126" max="6126" width="0" style="3" hidden="1" customWidth="1"/>
    <col min="6127" max="6127" width="21.7109375" style="3" customWidth="1"/>
    <col min="6128" max="6128" width="48.140625" style="3" customWidth="1"/>
    <col min="6129" max="6129" width="29.7109375" style="3" customWidth="1"/>
    <col min="6130" max="6130" width="11.42578125" style="3" customWidth="1"/>
    <col min="6131" max="6131" width="7.5703125" style="3" customWidth="1"/>
    <col min="6132" max="6132" width="11.7109375" style="3" customWidth="1"/>
    <col min="6133" max="6133" width="7.140625" style="3" customWidth="1"/>
    <col min="6134" max="6134" width="0" style="3" hidden="1" customWidth="1"/>
    <col min="6135" max="6136" width="19.140625" style="3" customWidth="1"/>
    <col min="6137" max="6137" width="20.42578125" style="3" customWidth="1"/>
    <col min="6138" max="6138" width="20.85546875" style="3" customWidth="1"/>
    <col min="6139" max="6140" width="22" style="3" customWidth="1"/>
    <col min="6141" max="6141" width="0" style="3" hidden="1" customWidth="1"/>
    <col min="6142" max="6142" width="27.28515625" style="3" customWidth="1"/>
    <col min="6143" max="6143" width="18.140625" style="3" bestFit="1" customWidth="1"/>
    <col min="6144" max="6144" width="11.42578125" style="3" bestFit="1" customWidth="1"/>
    <col min="6145" max="6145" width="11.5703125" style="3" bestFit="1" customWidth="1"/>
    <col min="6146" max="6381" width="9.140625" style="3"/>
    <col min="6382" max="6382" width="0" style="3" hidden="1" customWidth="1"/>
    <col min="6383" max="6383" width="21.7109375" style="3" customWidth="1"/>
    <col min="6384" max="6384" width="48.140625" style="3" customWidth="1"/>
    <col min="6385" max="6385" width="29.7109375" style="3" customWidth="1"/>
    <col min="6386" max="6386" width="11.42578125" style="3" customWidth="1"/>
    <col min="6387" max="6387" width="7.5703125" style="3" customWidth="1"/>
    <col min="6388" max="6388" width="11.7109375" style="3" customWidth="1"/>
    <col min="6389" max="6389" width="7.140625" style="3" customWidth="1"/>
    <col min="6390" max="6390" width="0" style="3" hidden="1" customWidth="1"/>
    <col min="6391" max="6392" width="19.140625" style="3" customWidth="1"/>
    <col min="6393" max="6393" width="20.42578125" style="3" customWidth="1"/>
    <col min="6394" max="6394" width="20.85546875" style="3" customWidth="1"/>
    <col min="6395" max="6396" width="22" style="3" customWidth="1"/>
    <col min="6397" max="6397" width="0" style="3" hidden="1" customWidth="1"/>
    <col min="6398" max="6398" width="27.28515625" style="3" customWidth="1"/>
    <col min="6399" max="6399" width="18.140625" style="3" bestFit="1" customWidth="1"/>
    <col min="6400" max="6400" width="11.42578125" style="3" bestFit="1" customWidth="1"/>
    <col min="6401" max="6401" width="11.5703125" style="3" bestFit="1" customWidth="1"/>
    <col min="6402" max="6637" width="9.140625" style="3"/>
    <col min="6638" max="6638" width="0" style="3" hidden="1" customWidth="1"/>
    <col min="6639" max="6639" width="21.7109375" style="3" customWidth="1"/>
    <col min="6640" max="6640" width="48.140625" style="3" customWidth="1"/>
    <col min="6641" max="6641" width="29.7109375" style="3" customWidth="1"/>
    <col min="6642" max="6642" width="11.42578125" style="3" customWidth="1"/>
    <col min="6643" max="6643" width="7.5703125" style="3" customWidth="1"/>
    <col min="6644" max="6644" width="11.7109375" style="3" customWidth="1"/>
    <col min="6645" max="6645" width="7.140625" style="3" customWidth="1"/>
    <col min="6646" max="6646" width="0" style="3" hidden="1" customWidth="1"/>
    <col min="6647" max="6648" width="19.140625" style="3" customWidth="1"/>
    <col min="6649" max="6649" width="20.42578125" style="3" customWidth="1"/>
    <col min="6650" max="6650" width="20.85546875" style="3" customWidth="1"/>
    <col min="6651" max="6652" width="22" style="3" customWidth="1"/>
    <col min="6653" max="6653" width="0" style="3" hidden="1" customWidth="1"/>
    <col min="6654" max="6654" width="27.28515625" style="3" customWidth="1"/>
    <col min="6655" max="6655" width="18.140625" style="3" bestFit="1" customWidth="1"/>
    <col min="6656" max="6656" width="11.42578125" style="3" bestFit="1" customWidth="1"/>
    <col min="6657" max="6657" width="11.5703125" style="3" bestFit="1" customWidth="1"/>
    <col min="6658" max="6893" width="9.140625" style="3"/>
    <col min="6894" max="6894" width="0" style="3" hidden="1" customWidth="1"/>
    <col min="6895" max="6895" width="21.7109375" style="3" customWidth="1"/>
    <col min="6896" max="6896" width="48.140625" style="3" customWidth="1"/>
    <col min="6897" max="6897" width="29.7109375" style="3" customWidth="1"/>
    <col min="6898" max="6898" width="11.42578125" style="3" customWidth="1"/>
    <col min="6899" max="6899" width="7.5703125" style="3" customWidth="1"/>
    <col min="6900" max="6900" width="11.7109375" style="3" customWidth="1"/>
    <col min="6901" max="6901" width="7.140625" style="3" customWidth="1"/>
    <col min="6902" max="6902" width="0" style="3" hidden="1" customWidth="1"/>
    <col min="6903" max="6904" width="19.140625" style="3" customWidth="1"/>
    <col min="6905" max="6905" width="20.42578125" style="3" customWidth="1"/>
    <col min="6906" max="6906" width="20.85546875" style="3" customWidth="1"/>
    <col min="6907" max="6908" width="22" style="3" customWidth="1"/>
    <col min="6909" max="6909" width="0" style="3" hidden="1" customWidth="1"/>
    <col min="6910" max="6910" width="27.28515625" style="3" customWidth="1"/>
    <col min="6911" max="6911" width="18.140625" style="3" bestFit="1" customWidth="1"/>
    <col min="6912" max="6912" width="11.42578125" style="3" bestFit="1" customWidth="1"/>
    <col min="6913" max="6913" width="11.5703125" style="3" bestFit="1" customWidth="1"/>
    <col min="6914" max="7149" width="9.140625" style="3"/>
    <col min="7150" max="7150" width="0" style="3" hidden="1" customWidth="1"/>
    <col min="7151" max="7151" width="21.7109375" style="3" customWidth="1"/>
    <col min="7152" max="7152" width="48.140625" style="3" customWidth="1"/>
    <col min="7153" max="7153" width="29.7109375" style="3" customWidth="1"/>
    <col min="7154" max="7154" width="11.42578125" style="3" customWidth="1"/>
    <col min="7155" max="7155" width="7.5703125" style="3" customWidth="1"/>
    <col min="7156" max="7156" width="11.7109375" style="3" customWidth="1"/>
    <col min="7157" max="7157" width="7.140625" style="3" customWidth="1"/>
    <col min="7158" max="7158" width="0" style="3" hidden="1" customWidth="1"/>
    <col min="7159" max="7160" width="19.140625" style="3" customWidth="1"/>
    <col min="7161" max="7161" width="20.42578125" style="3" customWidth="1"/>
    <col min="7162" max="7162" width="20.85546875" style="3" customWidth="1"/>
    <col min="7163" max="7164" width="22" style="3" customWidth="1"/>
    <col min="7165" max="7165" width="0" style="3" hidden="1" customWidth="1"/>
    <col min="7166" max="7166" width="27.28515625" style="3" customWidth="1"/>
    <col min="7167" max="7167" width="18.140625" style="3" bestFit="1" customWidth="1"/>
    <col min="7168" max="7168" width="11.42578125" style="3" bestFit="1" customWidth="1"/>
    <col min="7169" max="7169" width="11.5703125" style="3" bestFit="1" customWidth="1"/>
    <col min="7170" max="7405" width="9.140625" style="3"/>
    <col min="7406" max="7406" width="0" style="3" hidden="1" customWidth="1"/>
    <col min="7407" max="7407" width="21.7109375" style="3" customWidth="1"/>
    <col min="7408" max="7408" width="48.140625" style="3" customWidth="1"/>
    <col min="7409" max="7409" width="29.7109375" style="3" customWidth="1"/>
    <col min="7410" max="7410" width="11.42578125" style="3" customWidth="1"/>
    <col min="7411" max="7411" width="7.5703125" style="3" customWidth="1"/>
    <col min="7412" max="7412" width="11.7109375" style="3" customWidth="1"/>
    <col min="7413" max="7413" width="7.140625" style="3" customWidth="1"/>
    <col min="7414" max="7414" width="0" style="3" hidden="1" customWidth="1"/>
    <col min="7415" max="7416" width="19.140625" style="3" customWidth="1"/>
    <col min="7417" max="7417" width="20.42578125" style="3" customWidth="1"/>
    <col min="7418" max="7418" width="20.85546875" style="3" customWidth="1"/>
    <col min="7419" max="7420" width="22" style="3" customWidth="1"/>
    <col min="7421" max="7421" width="0" style="3" hidden="1" customWidth="1"/>
    <col min="7422" max="7422" width="27.28515625" style="3" customWidth="1"/>
    <col min="7423" max="7423" width="18.140625" style="3" bestFit="1" customWidth="1"/>
    <col min="7424" max="7424" width="11.42578125" style="3" bestFit="1" customWidth="1"/>
    <col min="7425" max="7425" width="11.5703125" style="3" bestFit="1" customWidth="1"/>
    <col min="7426" max="7661" width="9.140625" style="3"/>
    <col min="7662" max="7662" width="0" style="3" hidden="1" customWidth="1"/>
    <col min="7663" max="7663" width="21.7109375" style="3" customWidth="1"/>
    <col min="7664" max="7664" width="48.140625" style="3" customWidth="1"/>
    <col min="7665" max="7665" width="29.7109375" style="3" customWidth="1"/>
    <col min="7666" max="7666" width="11.42578125" style="3" customWidth="1"/>
    <col min="7667" max="7667" width="7.5703125" style="3" customWidth="1"/>
    <col min="7668" max="7668" width="11.7109375" style="3" customWidth="1"/>
    <col min="7669" max="7669" width="7.140625" style="3" customWidth="1"/>
    <col min="7670" max="7670" width="0" style="3" hidden="1" customWidth="1"/>
    <col min="7671" max="7672" width="19.140625" style="3" customWidth="1"/>
    <col min="7673" max="7673" width="20.42578125" style="3" customWidth="1"/>
    <col min="7674" max="7674" width="20.85546875" style="3" customWidth="1"/>
    <col min="7675" max="7676" width="22" style="3" customWidth="1"/>
    <col min="7677" max="7677" width="0" style="3" hidden="1" customWidth="1"/>
    <col min="7678" max="7678" width="27.28515625" style="3" customWidth="1"/>
    <col min="7679" max="7679" width="18.140625" style="3" bestFit="1" customWidth="1"/>
    <col min="7680" max="7680" width="11.42578125" style="3" bestFit="1" customWidth="1"/>
    <col min="7681" max="7681" width="11.5703125" style="3" bestFit="1" customWidth="1"/>
    <col min="7682" max="7917" width="9.140625" style="3"/>
    <col min="7918" max="7918" width="0" style="3" hidden="1" customWidth="1"/>
    <col min="7919" max="7919" width="21.7109375" style="3" customWidth="1"/>
    <col min="7920" max="7920" width="48.140625" style="3" customWidth="1"/>
    <col min="7921" max="7921" width="29.7109375" style="3" customWidth="1"/>
    <col min="7922" max="7922" width="11.42578125" style="3" customWidth="1"/>
    <col min="7923" max="7923" width="7.5703125" style="3" customWidth="1"/>
    <col min="7924" max="7924" width="11.7109375" style="3" customWidth="1"/>
    <col min="7925" max="7925" width="7.140625" style="3" customWidth="1"/>
    <col min="7926" max="7926" width="0" style="3" hidden="1" customWidth="1"/>
    <col min="7927" max="7928" width="19.140625" style="3" customWidth="1"/>
    <col min="7929" max="7929" width="20.42578125" style="3" customWidth="1"/>
    <col min="7930" max="7930" width="20.85546875" style="3" customWidth="1"/>
    <col min="7931" max="7932" width="22" style="3" customWidth="1"/>
    <col min="7933" max="7933" width="0" style="3" hidden="1" customWidth="1"/>
    <col min="7934" max="7934" width="27.28515625" style="3" customWidth="1"/>
    <col min="7935" max="7935" width="18.140625" style="3" bestFit="1" customWidth="1"/>
    <col min="7936" max="7936" width="11.42578125" style="3" bestFit="1" customWidth="1"/>
    <col min="7937" max="7937" width="11.5703125" style="3" bestFit="1" customWidth="1"/>
    <col min="7938" max="8173" width="9.140625" style="3"/>
    <col min="8174" max="8174" width="0" style="3" hidden="1" customWidth="1"/>
    <col min="8175" max="8175" width="21.7109375" style="3" customWidth="1"/>
    <col min="8176" max="8176" width="48.140625" style="3" customWidth="1"/>
    <col min="8177" max="8177" width="29.7109375" style="3" customWidth="1"/>
    <col min="8178" max="8178" width="11.42578125" style="3" customWidth="1"/>
    <col min="8179" max="8179" width="7.5703125" style="3" customWidth="1"/>
    <col min="8180" max="8180" width="11.7109375" style="3" customWidth="1"/>
    <col min="8181" max="8181" width="7.140625" style="3" customWidth="1"/>
    <col min="8182" max="8182" width="0" style="3" hidden="1" customWidth="1"/>
    <col min="8183" max="8184" width="19.140625" style="3" customWidth="1"/>
    <col min="8185" max="8185" width="20.42578125" style="3" customWidth="1"/>
    <col min="8186" max="8186" width="20.85546875" style="3" customWidth="1"/>
    <col min="8187" max="8188" width="22" style="3" customWidth="1"/>
    <col min="8189" max="8189" width="0" style="3" hidden="1" customWidth="1"/>
    <col min="8190" max="8190" width="27.28515625" style="3" customWidth="1"/>
    <col min="8191" max="8191" width="18.140625" style="3" bestFit="1" customWidth="1"/>
    <col min="8192" max="8192" width="11.42578125" style="3" bestFit="1" customWidth="1"/>
    <col min="8193" max="8193" width="11.5703125" style="3" bestFit="1" customWidth="1"/>
    <col min="8194" max="8429" width="9.140625" style="3"/>
    <col min="8430" max="8430" width="0" style="3" hidden="1" customWidth="1"/>
    <col min="8431" max="8431" width="21.7109375" style="3" customWidth="1"/>
    <col min="8432" max="8432" width="48.140625" style="3" customWidth="1"/>
    <col min="8433" max="8433" width="29.7109375" style="3" customWidth="1"/>
    <col min="8434" max="8434" width="11.42578125" style="3" customWidth="1"/>
    <col min="8435" max="8435" width="7.5703125" style="3" customWidth="1"/>
    <col min="8436" max="8436" width="11.7109375" style="3" customWidth="1"/>
    <col min="8437" max="8437" width="7.140625" style="3" customWidth="1"/>
    <col min="8438" max="8438" width="0" style="3" hidden="1" customWidth="1"/>
    <col min="8439" max="8440" width="19.140625" style="3" customWidth="1"/>
    <col min="8441" max="8441" width="20.42578125" style="3" customWidth="1"/>
    <col min="8442" max="8442" width="20.85546875" style="3" customWidth="1"/>
    <col min="8443" max="8444" width="22" style="3" customWidth="1"/>
    <col min="8445" max="8445" width="0" style="3" hidden="1" customWidth="1"/>
    <col min="8446" max="8446" width="27.28515625" style="3" customWidth="1"/>
    <col min="8447" max="8447" width="18.140625" style="3" bestFit="1" customWidth="1"/>
    <col min="8448" max="8448" width="11.42578125" style="3" bestFit="1" customWidth="1"/>
    <col min="8449" max="8449" width="11.5703125" style="3" bestFit="1" customWidth="1"/>
    <col min="8450" max="8685" width="9.140625" style="3"/>
    <col min="8686" max="8686" width="0" style="3" hidden="1" customWidth="1"/>
    <col min="8687" max="8687" width="21.7109375" style="3" customWidth="1"/>
    <col min="8688" max="8688" width="48.140625" style="3" customWidth="1"/>
    <col min="8689" max="8689" width="29.7109375" style="3" customWidth="1"/>
    <col min="8690" max="8690" width="11.42578125" style="3" customWidth="1"/>
    <col min="8691" max="8691" width="7.5703125" style="3" customWidth="1"/>
    <col min="8692" max="8692" width="11.7109375" style="3" customWidth="1"/>
    <col min="8693" max="8693" width="7.140625" style="3" customWidth="1"/>
    <col min="8694" max="8694" width="0" style="3" hidden="1" customWidth="1"/>
    <col min="8695" max="8696" width="19.140625" style="3" customWidth="1"/>
    <col min="8697" max="8697" width="20.42578125" style="3" customWidth="1"/>
    <col min="8698" max="8698" width="20.85546875" style="3" customWidth="1"/>
    <col min="8699" max="8700" width="22" style="3" customWidth="1"/>
    <col min="8701" max="8701" width="0" style="3" hidden="1" customWidth="1"/>
    <col min="8702" max="8702" width="27.28515625" style="3" customWidth="1"/>
    <col min="8703" max="8703" width="18.140625" style="3" bestFit="1" customWidth="1"/>
    <col min="8704" max="8704" width="11.42578125" style="3" bestFit="1" customWidth="1"/>
    <col min="8705" max="8705" width="11.5703125" style="3" bestFit="1" customWidth="1"/>
    <col min="8706" max="8941" width="9.140625" style="3"/>
    <col min="8942" max="8942" width="0" style="3" hidden="1" customWidth="1"/>
    <col min="8943" max="8943" width="21.7109375" style="3" customWidth="1"/>
    <col min="8944" max="8944" width="48.140625" style="3" customWidth="1"/>
    <col min="8945" max="8945" width="29.7109375" style="3" customWidth="1"/>
    <col min="8946" max="8946" width="11.42578125" style="3" customWidth="1"/>
    <col min="8947" max="8947" width="7.5703125" style="3" customWidth="1"/>
    <col min="8948" max="8948" width="11.7109375" style="3" customWidth="1"/>
    <col min="8949" max="8949" width="7.140625" style="3" customWidth="1"/>
    <col min="8950" max="8950" width="0" style="3" hidden="1" customWidth="1"/>
    <col min="8951" max="8952" width="19.140625" style="3" customWidth="1"/>
    <col min="8953" max="8953" width="20.42578125" style="3" customWidth="1"/>
    <col min="8954" max="8954" width="20.85546875" style="3" customWidth="1"/>
    <col min="8955" max="8956" width="22" style="3" customWidth="1"/>
    <col min="8957" max="8957" width="0" style="3" hidden="1" customWidth="1"/>
    <col min="8958" max="8958" width="27.28515625" style="3" customWidth="1"/>
    <col min="8959" max="8959" width="18.140625" style="3" bestFit="1" customWidth="1"/>
    <col min="8960" max="8960" width="11.42578125" style="3" bestFit="1" customWidth="1"/>
    <col min="8961" max="8961" width="11.5703125" style="3" bestFit="1" customWidth="1"/>
    <col min="8962" max="9197" width="9.140625" style="3"/>
    <col min="9198" max="9198" width="0" style="3" hidden="1" customWidth="1"/>
    <col min="9199" max="9199" width="21.7109375" style="3" customWidth="1"/>
    <col min="9200" max="9200" width="48.140625" style="3" customWidth="1"/>
    <col min="9201" max="9201" width="29.7109375" style="3" customWidth="1"/>
    <col min="9202" max="9202" width="11.42578125" style="3" customWidth="1"/>
    <col min="9203" max="9203" width="7.5703125" style="3" customWidth="1"/>
    <col min="9204" max="9204" width="11.7109375" style="3" customWidth="1"/>
    <col min="9205" max="9205" width="7.140625" style="3" customWidth="1"/>
    <col min="9206" max="9206" width="0" style="3" hidden="1" customWidth="1"/>
    <col min="9207" max="9208" width="19.140625" style="3" customWidth="1"/>
    <col min="9209" max="9209" width="20.42578125" style="3" customWidth="1"/>
    <col min="9210" max="9210" width="20.85546875" style="3" customWidth="1"/>
    <col min="9211" max="9212" width="22" style="3" customWidth="1"/>
    <col min="9213" max="9213" width="0" style="3" hidden="1" customWidth="1"/>
    <col min="9214" max="9214" width="27.28515625" style="3" customWidth="1"/>
    <col min="9215" max="9215" width="18.140625" style="3" bestFit="1" customWidth="1"/>
    <col min="9216" max="9216" width="11.42578125" style="3" bestFit="1" customWidth="1"/>
    <col min="9217" max="9217" width="11.5703125" style="3" bestFit="1" customWidth="1"/>
    <col min="9218" max="9453" width="9.140625" style="3"/>
    <col min="9454" max="9454" width="0" style="3" hidden="1" customWidth="1"/>
    <col min="9455" max="9455" width="21.7109375" style="3" customWidth="1"/>
    <col min="9456" max="9456" width="48.140625" style="3" customWidth="1"/>
    <col min="9457" max="9457" width="29.7109375" style="3" customWidth="1"/>
    <col min="9458" max="9458" width="11.42578125" style="3" customWidth="1"/>
    <col min="9459" max="9459" width="7.5703125" style="3" customWidth="1"/>
    <col min="9460" max="9460" width="11.7109375" style="3" customWidth="1"/>
    <col min="9461" max="9461" width="7.140625" style="3" customWidth="1"/>
    <col min="9462" max="9462" width="0" style="3" hidden="1" customWidth="1"/>
    <col min="9463" max="9464" width="19.140625" style="3" customWidth="1"/>
    <col min="9465" max="9465" width="20.42578125" style="3" customWidth="1"/>
    <col min="9466" max="9466" width="20.85546875" style="3" customWidth="1"/>
    <col min="9467" max="9468" width="22" style="3" customWidth="1"/>
    <col min="9469" max="9469" width="0" style="3" hidden="1" customWidth="1"/>
    <col min="9470" max="9470" width="27.28515625" style="3" customWidth="1"/>
    <col min="9471" max="9471" width="18.140625" style="3" bestFit="1" customWidth="1"/>
    <col min="9472" max="9472" width="11.42578125" style="3" bestFit="1" customWidth="1"/>
    <col min="9473" max="9473" width="11.5703125" style="3" bestFit="1" customWidth="1"/>
    <col min="9474" max="9709" width="9.140625" style="3"/>
    <col min="9710" max="9710" width="0" style="3" hidden="1" customWidth="1"/>
    <col min="9711" max="9711" width="21.7109375" style="3" customWidth="1"/>
    <col min="9712" max="9712" width="48.140625" style="3" customWidth="1"/>
    <col min="9713" max="9713" width="29.7109375" style="3" customWidth="1"/>
    <col min="9714" max="9714" width="11.42578125" style="3" customWidth="1"/>
    <col min="9715" max="9715" width="7.5703125" style="3" customWidth="1"/>
    <col min="9716" max="9716" width="11.7109375" style="3" customWidth="1"/>
    <col min="9717" max="9717" width="7.140625" style="3" customWidth="1"/>
    <col min="9718" max="9718" width="0" style="3" hidden="1" customWidth="1"/>
    <col min="9719" max="9720" width="19.140625" style="3" customWidth="1"/>
    <col min="9721" max="9721" width="20.42578125" style="3" customWidth="1"/>
    <col min="9722" max="9722" width="20.85546875" style="3" customWidth="1"/>
    <col min="9723" max="9724" width="22" style="3" customWidth="1"/>
    <col min="9725" max="9725" width="0" style="3" hidden="1" customWidth="1"/>
    <col min="9726" max="9726" width="27.28515625" style="3" customWidth="1"/>
    <col min="9727" max="9727" width="18.140625" style="3" bestFit="1" customWidth="1"/>
    <col min="9728" max="9728" width="11.42578125" style="3" bestFit="1" customWidth="1"/>
    <col min="9729" max="9729" width="11.5703125" style="3" bestFit="1" customWidth="1"/>
    <col min="9730" max="9965" width="9.140625" style="3"/>
    <col min="9966" max="9966" width="0" style="3" hidden="1" customWidth="1"/>
    <col min="9967" max="9967" width="21.7109375" style="3" customWidth="1"/>
    <col min="9968" max="9968" width="48.140625" style="3" customWidth="1"/>
    <col min="9969" max="9969" width="29.7109375" style="3" customWidth="1"/>
    <col min="9970" max="9970" width="11.42578125" style="3" customWidth="1"/>
    <col min="9971" max="9971" width="7.5703125" style="3" customWidth="1"/>
    <col min="9972" max="9972" width="11.7109375" style="3" customWidth="1"/>
    <col min="9973" max="9973" width="7.140625" style="3" customWidth="1"/>
    <col min="9974" max="9974" width="0" style="3" hidden="1" customWidth="1"/>
    <col min="9975" max="9976" width="19.140625" style="3" customWidth="1"/>
    <col min="9977" max="9977" width="20.42578125" style="3" customWidth="1"/>
    <col min="9978" max="9978" width="20.85546875" style="3" customWidth="1"/>
    <col min="9979" max="9980" width="22" style="3" customWidth="1"/>
    <col min="9981" max="9981" width="0" style="3" hidden="1" customWidth="1"/>
    <col min="9982" max="9982" width="27.28515625" style="3" customWidth="1"/>
    <col min="9983" max="9983" width="18.140625" style="3" bestFit="1" customWidth="1"/>
    <col min="9984" max="9984" width="11.42578125" style="3" bestFit="1" customWidth="1"/>
    <col min="9985" max="9985" width="11.5703125" style="3" bestFit="1" customWidth="1"/>
    <col min="9986" max="10221" width="9.140625" style="3"/>
    <col min="10222" max="10222" width="0" style="3" hidden="1" customWidth="1"/>
    <col min="10223" max="10223" width="21.7109375" style="3" customWidth="1"/>
    <col min="10224" max="10224" width="48.140625" style="3" customWidth="1"/>
    <col min="10225" max="10225" width="29.7109375" style="3" customWidth="1"/>
    <col min="10226" max="10226" width="11.42578125" style="3" customWidth="1"/>
    <col min="10227" max="10227" width="7.5703125" style="3" customWidth="1"/>
    <col min="10228" max="10228" width="11.7109375" style="3" customWidth="1"/>
    <col min="10229" max="10229" width="7.140625" style="3" customWidth="1"/>
    <col min="10230" max="10230" width="0" style="3" hidden="1" customWidth="1"/>
    <col min="10231" max="10232" width="19.140625" style="3" customWidth="1"/>
    <col min="10233" max="10233" width="20.42578125" style="3" customWidth="1"/>
    <col min="10234" max="10234" width="20.85546875" style="3" customWidth="1"/>
    <col min="10235" max="10236" width="22" style="3" customWidth="1"/>
    <col min="10237" max="10237" width="0" style="3" hidden="1" customWidth="1"/>
    <col min="10238" max="10238" width="27.28515625" style="3" customWidth="1"/>
    <col min="10239" max="10239" width="18.140625" style="3" bestFit="1" customWidth="1"/>
    <col min="10240" max="10240" width="11.42578125" style="3" bestFit="1" customWidth="1"/>
    <col min="10241" max="10241" width="11.5703125" style="3" bestFit="1" customWidth="1"/>
    <col min="10242" max="10477" width="9.140625" style="3"/>
    <col min="10478" max="10478" width="0" style="3" hidden="1" customWidth="1"/>
    <col min="10479" max="10479" width="21.7109375" style="3" customWidth="1"/>
    <col min="10480" max="10480" width="48.140625" style="3" customWidth="1"/>
    <col min="10481" max="10481" width="29.7109375" style="3" customWidth="1"/>
    <col min="10482" max="10482" width="11.42578125" style="3" customWidth="1"/>
    <col min="10483" max="10483" width="7.5703125" style="3" customWidth="1"/>
    <col min="10484" max="10484" width="11.7109375" style="3" customWidth="1"/>
    <col min="10485" max="10485" width="7.140625" style="3" customWidth="1"/>
    <col min="10486" max="10486" width="0" style="3" hidden="1" customWidth="1"/>
    <col min="10487" max="10488" width="19.140625" style="3" customWidth="1"/>
    <col min="10489" max="10489" width="20.42578125" style="3" customWidth="1"/>
    <col min="10490" max="10490" width="20.85546875" style="3" customWidth="1"/>
    <col min="10491" max="10492" width="22" style="3" customWidth="1"/>
    <col min="10493" max="10493" width="0" style="3" hidden="1" customWidth="1"/>
    <col min="10494" max="10494" width="27.28515625" style="3" customWidth="1"/>
    <col min="10495" max="10495" width="18.140625" style="3" bestFit="1" customWidth="1"/>
    <col min="10496" max="10496" width="11.42578125" style="3" bestFit="1" customWidth="1"/>
    <col min="10497" max="10497" width="11.5703125" style="3" bestFit="1" customWidth="1"/>
    <col min="10498" max="10733" width="9.140625" style="3"/>
    <col min="10734" max="10734" width="0" style="3" hidden="1" customWidth="1"/>
    <col min="10735" max="10735" width="21.7109375" style="3" customWidth="1"/>
    <col min="10736" max="10736" width="48.140625" style="3" customWidth="1"/>
    <col min="10737" max="10737" width="29.7109375" style="3" customWidth="1"/>
    <col min="10738" max="10738" width="11.42578125" style="3" customWidth="1"/>
    <col min="10739" max="10739" width="7.5703125" style="3" customWidth="1"/>
    <col min="10740" max="10740" width="11.7109375" style="3" customWidth="1"/>
    <col min="10741" max="10741" width="7.140625" style="3" customWidth="1"/>
    <col min="10742" max="10742" width="0" style="3" hidden="1" customWidth="1"/>
    <col min="10743" max="10744" width="19.140625" style="3" customWidth="1"/>
    <col min="10745" max="10745" width="20.42578125" style="3" customWidth="1"/>
    <col min="10746" max="10746" width="20.85546875" style="3" customWidth="1"/>
    <col min="10747" max="10748" width="22" style="3" customWidth="1"/>
    <col min="10749" max="10749" width="0" style="3" hidden="1" customWidth="1"/>
    <col min="10750" max="10750" width="27.28515625" style="3" customWidth="1"/>
    <col min="10751" max="10751" width="18.140625" style="3" bestFit="1" customWidth="1"/>
    <col min="10752" max="10752" width="11.42578125" style="3" bestFit="1" customWidth="1"/>
    <col min="10753" max="10753" width="11.5703125" style="3" bestFit="1" customWidth="1"/>
    <col min="10754" max="10989" width="9.140625" style="3"/>
    <col min="10990" max="10990" width="0" style="3" hidden="1" customWidth="1"/>
    <col min="10991" max="10991" width="21.7109375" style="3" customWidth="1"/>
    <col min="10992" max="10992" width="48.140625" style="3" customWidth="1"/>
    <col min="10993" max="10993" width="29.7109375" style="3" customWidth="1"/>
    <col min="10994" max="10994" width="11.42578125" style="3" customWidth="1"/>
    <col min="10995" max="10995" width="7.5703125" style="3" customWidth="1"/>
    <col min="10996" max="10996" width="11.7109375" style="3" customWidth="1"/>
    <col min="10997" max="10997" width="7.140625" style="3" customWidth="1"/>
    <col min="10998" max="10998" width="0" style="3" hidden="1" customWidth="1"/>
    <col min="10999" max="11000" width="19.140625" style="3" customWidth="1"/>
    <col min="11001" max="11001" width="20.42578125" style="3" customWidth="1"/>
    <col min="11002" max="11002" width="20.85546875" style="3" customWidth="1"/>
    <col min="11003" max="11004" width="22" style="3" customWidth="1"/>
    <col min="11005" max="11005" width="0" style="3" hidden="1" customWidth="1"/>
    <col min="11006" max="11006" width="27.28515625" style="3" customWidth="1"/>
    <col min="11007" max="11007" width="18.140625" style="3" bestFit="1" customWidth="1"/>
    <col min="11008" max="11008" width="11.42578125" style="3" bestFit="1" customWidth="1"/>
    <col min="11009" max="11009" width="11.5703125" style="3" bestFit="1" customWidth="1"/>
    <col min="11010" max="11245" width="9.140625" style="3"/>
    <col min="11246" max="11246" width="0" style="3" hidden="1" customWidth="1"/>
    <col min="11247" max="11247" width="21.7109375" style="3" customWidth="1"/>
    <col min="11248" max="11248" width="48.140625" style="3" customWidth="1"/>
    <col min="11249" max="11249" width="29.7109375" style="3" customWidth="1"/>
    <col min="11250" max="11250" width="11.42578125" style="3" customWidth="1"/>
    <col min="11251" max="11251" width="7.5703125" style="3" customWidth="1"/>
    <col min="11252" max="11252" width="11.7109375" style="3" customWidth="1"/>
    <col min="11253" max="11253" width="7.140625" style="3" customWidth="1"/>
    <col min="11254" max="11254" width="0" style="3" hidden="1" customWidth="1"/>
    <col min="11255" max="11256" width="19.140625" style="3" customWidth="1"/>
    <col min="11257" max="11257" width="20.42578125" style="3" customWidth="1"/>
    <col min="11258" max="11258" width="20.85546875" style="3" customWidth="1"/>
    <col min="11259" max="11260" width="22" style="3" customWidth="1"/>
    <col min="11261" max="11261" width="0" style="3" hidden="1" customWidth="1"/>
    <col min="11262" max="11262" width="27.28515625" style="3" customWidth="1"/>
    <col min="11263" max="11263" width="18.140625" style="3" bestFit="1" customWidth="1"/>
    <col min="11264" max="11264" width="11.42578125" style="3" bestFit="1" customWidth="1"/>
    <col min="11265" max="11265" width="11.5703125" style="3" bestFit="1" customWidth="1"/>
    <col min="11266" max="11501" width="9.140625" style="3"/>
    <col min="11502" max="11502" width="0" style="3" hidden="1" customWidth="1"/>
    <col min="11503" max="11503" width="21.7109375" style="3" customWidth="1"/>
    <col min="11504" max="11504" width="48.140625" style="3" customWidth="1"/>
    <col min="11505" max="11505" width="29.7109375" style="3" customWidth="1"/>
    <col min="11506" max="11506" width="11.42578125" style="3" customWidth="1"/>
    <col min="11507" max="11507" width="7.5703125" style="3" customWidth="1"/>
    <col min="11508" max="11508" width="11.7109375" style="3" customWidth="1"/>
    <col min="11509" max="11509" width="7.140625" style="3" customWidth="1"/>
    <col min="11510" max="11510" width="0" style="3" hidden="1" customWidth="1"/>
    <col min="11511" max="11512" width="19.140625" style="3" customWidth="1"/>
    <col min="11513" max="11513" width="20.42578125" style="3" customWidth="1"/>
    <col min="11514" max="11514" width="20.85546875" style="3" customWidth="1"/>
    <col min="11515" max="11516" width="22" style="3" customWidth="1"/>
    <col min="11517" max="11517" width="0" style="3" hidden="1" customWidth="1"/>
    <col min="11518" max="11518" width="27.28515625" style="3" customWidth="1"/>
    <col min="11519" max="11519" width="18.140625" style="3" bestFit="1" customWidth="1"/>
    <col min="11520" max="11520" width="11.42578125" style="3" bestFit="1" customWidth="1"/>
    <col min="11521" max="11521" width="11.5703125" style="3" bestFit="1" customWidth="1"/>
    <col min="11522" max="11757" width="9.140625" style="3"/>
    <col min="11758" max="11758" width="0" style="3" hidden="1" customWidth="1"/>
    <col min="11759" max="11759" width="21.7109375" style="3" customWidth="1"/>
    <col min="11760" max="11760" width="48.140625" style="3" customWidth="1"/>
    <col min="11761" max="11761" width="29.7109375" style="3" customWidth="1"/>
    <col min="11762" max="11762" width="11.42578125" style="3" customWidth="1"/>
    <col min="11763" max="11763" width="7.5703125" style="3" customWidth="1"/>
    <col min="11764" max="11764" width="11.7109375" style="3" customWidth="1"/>
    <col min="11765" max="11765" width="7.140625" style="3" customWidth="1"/>
    <col min="11766" max="11766" width="0" style="3" hidden="1" customWidth="1"/>
    <col min="11767" max="11768" width="19.140625" style="3" customWidth="1"/>
    <col min="11769" max="11769" width="20.42578125" style="3" customWidth="1"/>
    <col min="11770" max="11770" width="20.85546875" style="3" customWidth="1"/>
    <col min="11771" max="11772" width="22" style="3" customWidth="1"/>
    <col min="11773" max="11773" width="0" style="3" hidden="1" customWidth="1"/>
    <col min="11774" max="11774" width="27.28515625" style="3" customWidth="1"/>
    <col min="11775" max="11775" width="18.140625" style="3" bestFit="1" customWidth="1"/>
    <col min="11776" max="11776" width="11.42578125" style="3" bestFit="1" customWidth="1"/>
    <col min="11777" max="11777" width="11.5703125" style="3" bestFit="1" customWidth="1"/>
    <col min="11778" max="12013" width="9.140625" style="3"/>
    <col min="12014" max="12014" width="0" style="3" hidden="1" customWidth="1"/>
    <col min="12015" max="12015" width="21.7109375" style="3" customWidth="1"/>
    <col min="12016" max="12016" width="48.140625" style="3" customWidth="1"/>
    <col min="12017" max="12017" width="29.7109375" style="3" customWidth="1"/>
    <col min="12018" max="12018" width="11.42578125" style="3" customWidth="1"/>
    <col min="12019" max="12019" width="7.5703125" style="3" customWidth="1"/>
    <col min="12020" max="12020" width="11.7109375" style="3" customWidth="1"/>
    <col min="12021" max="12021" width="7.140625" style="3" customWidth="1"/>
    <col min="12022" max="12022" width="0" style="3" hidden="1" customWidth="1"/>
    <col min="12023" max="12024" width="19.140625" style="3" customWidth="1"/>
    <col min="12025" max="12025" width="20.42578125" style="3" customWidth="1"/>
    <col min="12026" max="12026" width="20.85546875" style="3" customWidth="1"/>
    <col min="12027" max="12028" width="22" style="3" customWidth="1"/>
    <col min="12029" max="12029" width="0" style="3" hidden="1" customWidth="1"/>
    <col min="12030" max="12030" width="27.28515625" style="3" customWidth="1"/>
    <col min="12031" max="12031" width="18.140625" style="3" bestFit="1" customWidth="1"/>
    <col min="12032" max="12032" width="11.42578125" style="3" bestFit="1" customWidth="1"/>
    <col min="12033" max="12033" width="11.5703125" style="3" bestFit="1" customWidth="1"/>
    <col min="12034" max="12269" width="9.140625" style="3"/>
    <col min="12270" max="12270" width="0" style="3" hidden="1" customWidth="1"/>
    <col min="12271" max="12271" width="21.7109375" style="3" customWidth="1"/>
    <col min="12272" max="12272" width="48.140625" style="3" customWidth="1"/>
    <col min="12273" max="12273" width="29.7109375" style="3" customWidth="1"/>
    <col min="12274" max="12274" width="11.42578125" style="3" customWidth="1"/>
    <col min="12275" max="12275" width="7.5703125" style="3" customWidth="1"/>
    <col min="12276" max="12276" width="11.7109375" style="3" customWidth="1"/>
    <col min="12277" max="12277" width="7.140625" style="3" customWidth="1"/>
    <col min="12278" max="12278" width="0" style="3" hidden="1" customWidth="1"/>
    <col min="12279" max="12280" width="19.140625" style="3" customWidth="1"/>
    <col min="12281" max="12281" width="20.42578125" style="3" customWidth="1"/>
    <col min="12282" max="12282" width="20.85546875" style="3" customWidth="1"/>
    <col min="12283" max="12284" width="22" style="3" customWidth="1"/>
    <col min="12285" max="12285" width="0" style="3" hidden="1" customWidth="1"/>
    <col min="12286" max="12286" width="27.28515625" style="3" customWidth="1"/>
    <col min="12287" max="12287" width="18.140625" style="3" bestFit="1" customWidth="1"/>
    <col min="12288" max="12288" width="11.42578125" style="3" bestFit="1" customWidth="1"/>
    <col min="12289" max="12289" width="11.5703125" style="3" bestFit="1" customWidth="1"/>
    <col min="12290" max="12525" width="9.140625" style="3"/>
    <col min="12526" max="12526" width="0" style="3" hidden="1" customWidth="1"/>
    <col min="12527" max="12527" width="21.7109375" style="3" customWidth="1"/>
    <col min="12528" max="12528" width="48.140625" style="3" customWidth="1"/>
    <col min="12529" max="12529" width="29.7109375" style="3" customWidth="1"/>
    <col min="12530" max="12530" width="11.42578125" style="3" customWidth="1"/>
    <col min="12531" max="12531" width="7.5703125" style="3" customWidth="1"/>
    <col min="12532" max="12532" width="11.7109375" style="3" customWidth="1"/>
    <col min="12533" max="12533" width="7.140625" style="3" customWidth="1"/>
    <col min="12534" max="12534" width="0" style="3" hidden="1" customWidth="1"/>
    <col min="12535" max="12536" width="19.140625" style="3" customWidth="1"/>
    <col min="12537" max="12537" width="20.42578125" style="3" customWidth="1"/>
    <col min="12538" max="12538" width="20.85546875" style="3" customWidth="1"/>
    <col min="12539" max="12540" width="22" style="3" customWidth="1"/>
    <col min="12541" max="12541" width="0" style="3" hidden="1" customWidth="1"/>
    <col min="12542" max="12542" width="27.28515625" style="3" customWidth="1"/>
    <col min="12543" max="12543" width="18.140625" style="3" bestFit="1" customWidth="1"/>
    <col min="12544" max="12544" width="11.42578125" style="3" bestFit="1" customWidth="1"/>
    <col min="12545" max="12545" width="11.5703125" style="3" bestFit="1" customWidth="1"/>
    <col min="12546" max="12781" width="9.140625" style="3"/>
    <col min="12782" max="12782" width="0" style="3" hidden="1" customWidth="1"/>
    <col min="12783" max="12783" width="21.7109375" style="3" customWidth="1"/>
    <col min="12784" max="12784" width="48.140625" style="3" customWidth="1"/>
    <col min="12785" max="12785" width="29.7109375" style="3" customWidth="1"/>
    <col min="12786" max="12786" width="11.42578125" style="3" customWidth="1"/>
    <col min="12787" max="12787" width="7.5703125" style="3" customWidth="1"/>
    <col min="12788" max="12788" width="11.7109375" style="3" customWidth="1"/>
    <col min="12789" max="12789" width="7.140625" style="3" customWidth="1"/>
    <col min="12790" max="12790" width="0" style="3" hidden="1" customWidth="1"/>
    <col min="12791" max="12792" width="19.140625" style="3" customWidth="1"/>
    <col min="12793" max="12793" width="20.42578125" style="3" customWidth="1"/>
    <col min="12794" max="12794" width="20.85546875" style="3" customWidth="1"/>
    <col min="12795" max="12796" width="22" style="3" customWidth="1"/>
    <col min="12797" max="12797" width="0" style="3" hidden="1" customWidth="1"/>
    <col min="12798" max="12798" width="27.28515625" style="3" customWidth="1"/>
    <col min="12799" max="12799" width="18.140625" style="3" bestFit="1" customWidth="1"/>
    <col min="12800" max="12800" width="11.42578125" style="3" bestFit="1" customWidth="1"/>
    <col min="12801" max="12801" width="11.5703125" style="3" bestFit="1" customWidth="1"/>
    <col min="12802" max="13037" width="9.140625" style="3"/>
    <col min="13038" max="13038" width="0" style="3" hidden="1" customWidth="1"/>
    <col min="13039" max="13039" width="21.7109375" style="3" customWidth="1"/>
    <col min="13040" max="13040" width="48.140625" style="3" customWidth="1"/>
    <col min="13041" max="13041" width="29.7109375" style="3" customWidth="1"/>
    <col min="13042" max="13042" width="11.42578125" style="3" customWidth="1"/>
    <col min="13043" max="13043" width="7.5703125" style="3" customWidth="1"/>
    <col min="13044" max="13044" width="11.7109375" style="3" customWidth="1"/>
    <col min="13045" max="13045" width="7.140625" style="3" customWidth="1"/>
    <col min="13046" max="13046" width="0" style="3" hidden="1" customWidth="1"/>
    <col min="13047" max="13048" width="19.140625" style="3" customWidth="1"/>
    <col min="13049" max="13049" width="20.42578125" style="3" customWidth="1"/>
    <col min="13050" max="13050" width="20.85546875" style="3" customWidth="1"/>
    <col min="13051" max="13052" width="22" style="3" customWidth="1"/>
    <col min="13053" max="13053" width="0" style="3" hidden="1" customWidth="1"/>
    <col min="13054" max="13054" width="27.28515625" style="3" customWidth="1"/>
    <col min="13055" max="13055" width="18.140625" style="3" bestFit="1" customWidth="1"/>
    <col min="13056" max="13056" width="11.42578125" style="3" bestFit="1" customWidth="1"/>
    <col min="13057" max="13057" width="11.5703125" style="3" bestFit="1" customWidth="1"/>
    <col min="13058" max="13293" width="9.140625" style="3"/>
    <col min="13294" max="13294" width="0" style="3" hidden="1" customWidth="1"/>
    <col min="13295" max="13295" width="21.7109375" style="3" customWidth="1"/>
    <col min="13296" max="13296" width="48.140625" style="3" customWidth="1"/>
    <col min="13297" max="13297" width="29.7109375" style="3" customWidth="1"/>
    <col min="13298" max="13298" width="11.42578125" style="3" customWidth="1"/>
    <col min="13299" max="13299" width="7.5703125" style="3" customWidth="1"/>
    <col min="13300" max="13300" width="11.7109375" style="3" customWidth="1"/>
    <col min="13301" max="13301" width="7.140625" style="3" customWidth="1"/>
    <col min="13302" max="13302" width="0" style="3" hidden="1" customWidth="1"/>
    <col min="13303" max="13304" width="19.140625" style="3" customWidth="1"/>
    <col min="13305" max="13305" width="20.42578125" style="3" customWidth="1"/>
    <col min="13306" max="13306" width="20.85546875" style="3" customWidth="1"/>
    <col min="13307" max="13308" width="22" style="3" customWidth="1"/>
    <col min="13309" max="13309" width="0" style="3" hidden="1" customWidth="1"/>
    <col min="13310" max="13310" width="27.28515625" style="3" customWidth="1"/>
    <col min="13311" max="13311" width="18.140625" style="3" bestFit="1" customWidth="1"/>
    <col min="13312" max="13312" width="11.42578125" style="3" bestFit="1" customWidth="1"/>
    <col min="13313" max="13313" width="11.5703125" style="3" bestFit="1" customWidth="1"/>
    <col min="13314" max="13549" width="9.140625" style="3"/>
    <col min="13550" max="13550" width="0" style="3" hidden="1" customWidth="1"/>
    <col min="13551" max="13551" width="21.7109375" style="3" customWidth="1"/>
    <col min="13552" max="13552" width="48.140625" style="3" customWidth="1"/>
    <col min="13553" max="13553" width="29.7109375" style="3" customWidth="1"/>
    <col min="13554" max="13554" width="11.42578125" style="3" customWidth="1"/>
    <col min="13555" max="13555" width="7.5703125" style="3" customWidth="1"/>
    <col min="13556" max="13556" width="11.7109375" style="3" customWidth="1"/>
    <col min="13557" max="13557" width="7.140625" style="3" customWidth="1"/>
    <col min="13558" max="13558" width="0" style="3" hidden="1" customWidth="1"/>
    <col min="13559" max="13560" width="19.140625" style="3" customWidth="1"/>
    <col min="13561" max="13561" width="20.42578125" style="3" customWidth="1"/>
    <col min="13562" max="13562" width="20.85546875" style="3" customWidth="1"/>
    <col min="13563" max="13564" width="22" style="3" customWidth="1"/>
    <col min="13565" max="13565" width="0" style="3" hidden="1" customWidth="1"/>
    <col min="13566" max="13566" width="27.28515625" style="3" customWidth="1"/>
    <col min="13567" max="13567" width="18.140625" style="3" bestFit="1" customWidth="1"/>
    <col min="13568" max="13568" width="11.42578125" style="3" bestFit="1" customWidth="1"/>
    <col min="13569" max="13569" width="11.5703125" style="3" bestFit="1" customWidth="1"/>
    <col min="13570" max="13805" width="9.140625" style="3"/>
    <col min="13806" max="13806" width="0" style="3" hidden="1" customWidth="1"/>
    <col min="13807" max="13807" width="21.7109375" style="3" customWidth="1"/>
    <col min="13808" max="13808" width="48.140625" style="3" customWidth="1"/>
    <col min="13809" max="13809" width="29.7109375" style="3" customWidth="1"/>
    <col min="13810" max="13810" width="11.42578125" style="3" customWidth="1"/>
    <col min="13811" max="13811" width="7.5703125" style="3" customWidth="1"/>
    <col min="13812" max="13812" width="11.7109375" style="3" customWidth="1"/>
    <col min="13813" max="13813" width="7.140625" style="3" customWidth="1"/>
    <col min="13814" max="13814" width="0" style="3" hidden="1" customWidth="1"/>
    <col min="13815" max="13816" width="19.140625" style="3" customWidth="1"/>
    <col min="13817" max="13817" width="20.42578125" style="3" customWidth="1"/>
    <col min="13818" max="13818" width="20.85546875" style="3" customWidth="1"/>
    <col min="13819" max="13820" width="22" style="3" customWidth="1"/>
    <col min="13821" max="13821" width="0" style="3" hidden="1" customWidth="1"/>
    <col min="13822" max="13822" width="27.28515625" style="3" customWidth="1"/>
    <col min="13823" max="13823" width="18.140625" style="3" bestFit="1" customWidth="1"/>
    <col min="13824" max="13824" width="11.42578125" style="3" bestFit="1" customWidth="1"/>
    <col min="13825" max="13825" width="11.5703125" style="3" bestFit="1" customWidth="1"/>
    <col min="13826" max="14061" width="9.140625" style="3"/>
    <col min="14062" max="14062" width="0" style="3" hidden="1" customWidth="1"/>
    <col min="14063" max="14063" width="21.7109375" style="3" customWidth="1"/>
    <col min="14064" max="14064" width="48.140625" style="3" customWidth="1"/>
    <col min="14065" max="14065" width="29.7109375" style="3" customWidth="1"/>
    <col min="14066" max="14066" width="11.42578125" style="3" customWidth="1"/>
    <col min="14067" max="14067" width="7.5703125" style="3" customWidth="1"/>
    <col min="14068" max="14068" width="11.7109375" style="3" customWidth="1"/>
    <col min="14069" max="14069" width="7.140625" style="3" customWidth="1"/>
    <col min="14070" max="14070" width="0" style="3" hidden="1" customWidth="1"/>
    <col min="14071" max="14072" width="19.140625" style="3" customWidth="1"/>
    <col min="14073" max="14073" width="20.42578125" style="3" customWidth="1"/>
    <col min="14074" max="14074" width="20.85546875" style="3" customWidth="1"/>
    <col min="14075" max="14076" width="22" style="3" customWidth="1"/>
    <col min="14077" max="14077" width="0" style="3" hidden="1" customWidth="1"/>
    <col min="14078" max="14078" width="27.28515625" style="3" customWidth="1"/>
    <col min="14079" max="14079" width="18.140625" style="3" bestFit="1" customWidth="1"/>
    <col min="14080" max="14080" width="11.42578125" style="3" bestFit="1" customWidth="1"/>
    <col min="14081" max="14081" width="11.5703125" style="3" bestFit="1" customWidth="1"/>
    <col min="14082" max="14317" width="9.140625" style="3"/>
    <col min="14318" max="14318" width="0" style="3" hidden="1" customWidth="1"/>
    <col min="14319" max="14319" width="21.7109375" style="3" customWidth="1"/>
    <col min="14320" max="14320" width="48.140625" style="3" customWidth="1"/>
    <col min="14321" max="14321" width="29.7109375" style="3" customWidth="1"/>
    <col min="14322" max="14322" width="11.42578125" style="3" customWidth="1"/>
    <col min="14323" max="14323" width="7.5703125" style="3" customWidth="1"/>
    <col min="14324" max="14324" width="11.7109375" style="3" customWidth="1"/>
    <col min="14325" max="14325" width="7.140625" style="3" customWidth="1"/>
    <col min="14326" max="14326" width="0" style="3" hidden="1" customWidth="1"/>
    <col min="14327" max="14328" width="19.140625" style="3" customWidth="1"/>
    <col min="14329" max="14329" width="20.42578125" style="3" customWidth="1"/>
    <col min="14330" max="14330" width="20.85546875" style="3" customWidth="1"/>
    <col min="14331" max="14332" width="22" style="3" customWidth="1"/>
    <col min="14333" max="14333" width="0" style="3" hidden="1" customWidth="1"/>
    <col min="14334" max="14334" width="27.28515625" style="3" customWidth="1"/>
    <col min="14335" max="14335" width="18.140625" style="3" bestFit="1" customWidth="1"/>
    <col min="14336" max="14336" width="11.42578125" style="3" bestFit="1" customWidth="1"/>
    <col min="14337" max="14337" width="11.5703125" style="3" bestFit="1" customWidth="1"/>
    <col min="14338" max="14573" width="9.140625" style="3"/>
    <col min="14574" max="14574" width="0" style="3" hidden="1" customWidth="1"/>
    <col min="14575" max="14575" width="21.7109375" style="3" customWidth="1"/>
    <col min="14576" max="14576" width="48.140625" style="3" customWidth="1"/>
    <col min="14577" max="14577" width="29.7109375" style="3" customWidth="1"/>
    <col min="14578" max="14578" width="11.42578125" style="3" customWidth="1"/>
    <col min="14579" max="14579" width="7.5703125" style="3" customWidth="1"/>
    <col min="14580" max="14580" width="11.7109375" style="3" customWidth="1"/>
    <col min="14581" max="14581" width="7.140625" style="3" customWidth="1"/>
    <col min="14582" max="14582" width="0" style="3" hidden="1" customWidth="1"/>
    <col min="14583" max="14584" width="19.140625" style="3" customWidth="1"/>
    <col min="14585" max="14585" width="20.42578125" style="3" customWidth="1"/>
    <col min="14586" max="14586" width="20.85546875" style="3" customWidth="1"/>
    <col min="14587" max="14588" width="22" style="3" customWidth="1"/>
    <col min="14589" max="14589" width="0" style="3" hidden="1" customWidth="1"/>
    <col min="14590" max="14590" width="27.28515625" style="3" customWidth="1"/>
    <col min="14591" max="14591" width="18.140625" style="3" bestFit="1" customWidth="1"/>
    <col min="14592" max="14592" width="11.42578125" style="3" bestFit="1" customWidth="1"/>
    <col min="14593" max="14593" width="11.5703125" style="3" bestFit="1" customWidth="1"/>
    <col min="14594" max="14829" width="9.140625" style="3"/>
    <col min="14830" max="14830" width="0" style="3" hidden="1" customWidth="1"/>
    <col min="14831" max="14831" width="21.7109375" style="3" customWidth="1"/>
    <col min="14832" max="14832" width="48.140625" style="3" customWidth="1"/>
    <col min="14833" max="14833" width="29.7109375" style="3" customWidth="1"/>
    <col min="14834" max="14834" width="11.42578125" style="3" customWidth="1"/>
    <col min="14835" max="14835" width="7.5703125" style="3" customWidth="1"/>
    <col min="14836" max="14836" width="11.7109375" style="3" customWidth="1"/>
    <col min="14837" max="14837" width="7.140625" style="3" customWidth="1"/>
    <col min="14838" max="14838" width="0" style="3" hidden="1" customWidth="1"/>
    <col min="14839" max="14840" width="19.140625" style="3" customWidth="1"/>
    <col min="14841" max="14841" width="20.42578125" style="3" customWidth="1"/>
    <col min="14842" max="14842" width="20.85546875" style="3" customWidth="1"/>
    <col min="14843" max="14844" width="22" style="3" customWidth="1"/>
    <col min="14845" max="14845" width="0" style="3" hidden="1" customWidth="1"/>
    <col min="14846" max="14846" width="27.28515625" style="3" customWidth="1"/>
    <col min="14847" max="14847" width="18.140625" style="3" bestFit="1" customWidth="1"/>
    <col min="14848" max="14848" width="11.42578125" style="3" bestFit="1" customWidth="1"/>
    <col min="14849" max="14849" width="11.5703125" style="3" bestFit="1" customWidth="1"/>
    <col min="14850" max="15085" width="9.140625" style="3"/>
    <col min="15086" max="15086" width="0" style="3" hidden="1" customWidth="1"/>
    <col min="15087" max="15087" width="21.7109375" style="3" customWidth="1"/>
    <col min="15088" max="15088" width="48.140625" style="3" customWidth="1"/>
    <col min="15089" max="15089" width="29.7109375" style="3" customWidth="1"/>
    <col min="15090" max="15090" width="11.42578125" style="3" customWidth="1"/>
    <col min="15091" max="15091" width="7.5703125" style="3" customWidth="1"/>
    <col min="15092" max="15092" width="11.7109375" style="3" customWidth="1"/>
    <col min="15093" max="15093" width="7.140625" style="3" customWidth="1"/>
    <col min="15094" max="15094" width="0" style="3" hidden="1" customWidth="1"/>
    <col min="15095" max="15096" width="19.140625" style="3" customWidth="1"/>
    <col min="15097" max="15097" width="20.42578125" style="3" customWidth="1"/>
    <col min="15098" max="15098" width="20.85546875" style="3" customWidth="1"/>
    <col min="15099" max="15100" width="22" style="3" customWidth="1"/>
    <col min="15101" max="15101" width="0" style="3" hidden="1" customWidth="1"/>
    <col min="15102" max="15102" width="27.28515625" style="3" customWidth="1"/>
    <col min="15103" max="15103" width="18.140625" style="3" bestFit="1" customWidth="1"/>
    <col min="15104" max="15104" width="11.42578125" style="3" bestFit="1" customWidth="1"/>
    <col min="15105" max="15105" width="11.5703125" style="3" bestFit="1" customWidth="1"/>
    <col min="15106" max="15341" width="9.140625" style="3"/>
    <col min="15342" max="15342" width="0" style="3" hidden="1" customWidth="1"/>
    <col min="15343" max="15343" width="21.7109375" style="3" customWidth="1"/>
    <col min="15344" max="15344" width="48.140625" style="3" customWidth="1"/>
    <col min="15345" max="15345" width="29.7109375" style="3" customWidth="1"/>
    <col min="15346" max="15346" width="11.42578125" style="3" customWidth="1"/>
    <col min="15347" max="15347" width="7.5703125" style="3" customWidth="1"/>
    <col min="15348" max="15348" width="11.7109375" style="3" customWidth="1"/>
    <col min="15349" max="15349" width="7.140625" style="3" customWidth="1"/>
    <col min="15350" max="15350" width="0" style="3" hidden="1" customWidth="1"/>
    <col min="15351" max="15352" width="19.140625" style="3" customWidth="1"/>
    <col min="15353" max="15353" width="20.42578125" style="3" customWidth="1"/>
    <col min="15354" max="15354" width="20.85546875" style="3" customWidth="1"/>
    <col min="15355" max="15356" width="22" style="3" customWidth="1"/>
    <col min="15357" max="15357" width="0" style="3" hidden="1" customWidth="1"/>
    <col min="15358" max="15358" width="27.28515625" style="3" customWidth="1"/>
    <col min="15359" max="15359" width="18.140625" style="3" bestFit="1" customWidth="1"/>
    <col min="15360" max="15360" width="11.42578125" style="3" bestFit="1" customWidth="1"/>
    <col min="15361" max="15361" width="11.5703125" style="3" bestFit="1" customWidth="1"/>
    <col min="15362" max="15597" width="9.140625" style="3"/>
    <col min="15598" max="15598" width="0" style="3" hidden="1" customWidth="1"/>
    <col min="15599" max="15599" width="21.7109375" style="3" customWidth="1"/>
    <col min="15600" max="15600" width="48.140625" style="3" customWidth="1"/>
    <col min="15601" max="15601" width="29.7109375" style="3" customWidth="1"/>
    <col min="15602" max="15602" width="11.42578125" style="3" customWidth="1"/>
    <col min="15603" max="15603" width="7.5703125" style="3" customWidth="1"/>
    <col min="15604" max="15604" width="11.7109375" style="3" customWidth="1"/>
    <col min="15605" max="15605" width="7.140625" style="3" customWidth="1"/>
    <col min="15606" max="15606" width="0" style="3" hidden="1" customWidth="1"/>
    <col min="15607" max="15608" width="19.140625" style="3" customWidth="1"/>
    <col min="15609" max="15609" width="20.42578125" style="3" customWidth="1"/>
    <col min="15610" max="15610" width="20.85546875" style="3" customWidth="1"/>
    <col min="15611" max="15612" width="22" style="3" customWidth="1"/>
    <col min="15613" max="15613" width="0" style="3" hidden="1" customWidth="1"/>
    <col min="15614" max="15614" width="27.28515625" style="3" customWidth="1"/>
    <col min="15615" max="15615" width="18.140625" style="3" bestFit="1" customWidth="1"/>
    <col min="15616" max="15616" width="11.42578125" style="3" bestFit="1" customWidth="1"/>
    <col min="15617" max="15617" width="11.5703125" style="3" bestFit="1" customWidth="1"/>
    <col min="15618" max="15853" width="9.140625" style="3"/>
    <col min="15854" max="15854" width="0" style="3" hidden="1" customWidth="1"/>
    <col min="15855" max="15855" width="21.7109375" style="3" customWidth="1"/>
    <col min="15856" max="15856" width="48.140625" style="3" customWidth="1"/>
    <col min="15857" max="15857" width="29.7109375" style="3" customWidth="1"/>
    <col min="15858" max="15858" width="11.42578125" style="3" customWidth="1"/>
    <col min="15859" max="15859" width="7.5703125" style="3" customWidth="1"/>
    <col min="15860" max="15860" width="11.7109375" style="3" customWidth="1"/>
    <col min="15861" max="15861" width="7.140625" style="3" customWidth="1"/>
    <col min="15862" max="15862" width="0" style="3" hidden="1" customWidth="1"/>
    <col min="15863" max="15864" width="19.140625" style="3" customWidth="1"/>
    <col min="15865" max="15865" width="20.42578125" style="3" customWidth="1"/>
    <col min="15866" max="15866" width="20.85546875" style="3" customWidth="1"/>
    <col min="15867" max="15868" width="22" style="3" customWidth="1"/>
    <col min="15869" max="15869" width="0" style="3" hidden="1" customWidth="1"/>
    <col min="15870" max="15870" width="27.28515625" style="3" customWidth="1"/>
    <col min="15871" max="15871" width="18.140625" style="3" bestFit="1" customWidth="1"/>
    <col min="15872" max="15872" width="11.42578125" style="3" bestFit="1" customWidth="1"/>
    <col min="15873" max="15873" width="11.5703125" style="3" bestFit="1" customWidth="1"/>
    <col min="15874" max="16109" width="9.140625" style="3"/>
    <col min="16110" max="16110" width="0" style="3" hidden="1" customWidth="1"/>
    <col min="16111" max="16111" width="21.7109375" style="3" customWidth="1"/>
    <col min="16112" max="16112" width="48.140625" style="3" customWidth="1"/>
    <col min="16113" max="16113" width="29.7109375" style="3" customWidth="1"/>
    <col min="16114" max="16114" width="11.42578125" style="3" customWidth="1"/>
    <col min="16115" max="16115" width="7.5703125" style="3" customWidth="1"/>
    <col min="16116" max="16116" width="11.7109375" style="3" customWidth="1"/>
    <col min="16117" max="16117" width="7.140625" style="3" customWidth="1"/>
    <col min="16118" max="16118" width="0" style="3" hidden="1" customWidth="1"/>
    <col min="16119" max="16120" width="19.140625" style="3" customWidth="1"/>
    <col min="16121" max="16121" width="20.42578125" style="3" customWidth="1"/>
    <col min="16122" max="16122" width="20.85546875" style="3" customWidth="1"/>
    <col min="16123" max="16124" width="22" style="3" customWidth="1"/>
    <col min="16125" max="16125" width="0" style="3" hidden="1" customWidth="1"/>
    <col min="16126" max="16126" width="27.28515625" style="3" customWidth="1"/>
    <col min="16127" max="16127" width="18.140625" style="3" bestFit="1" customWidth="1"/>
    <col min="16128" max="16128" width="11.42578125" style="3" bestFit="1" customWidth="1"/>
    <col min="16129" max="16129" width="11.5703125" style="3" bestFit="1" customWidth="1"/>
    <col min="16130" max="16384" width="9.140625" style="3"/>
  </cols>
  <sheetData>
    <row r="1" spans="1:12" ht="17.25" customHeight="1">
      <c r="A1" s="9"/>
      <c r="B1" s="2"/>
      <c r="C1" s="9"/>
      <c r="D1" s="2"/>
      <c r="E1" s="30"/>
      <c r="F1" s="4"/>
      <c r="G1" s="196" t="s">
        <v>145</v>
      </c>
      <c r="H1" s="196"/>
      <c r="I1" s="196"/>
      <c r="J1" s="196"/>
      <c r="K1" s="196"/>
      <c r="L1" s="196"/>
    </row>
    <row r="2" spans="1:12" ht="17.25" customHeight="1">
      <c r="A2" s="9"/>
      <c r="B2" s="2"/>
      <c r="C2" s="9"/>
      <c r="D2" s="2"/>
      <c r="E2" s="30"/>
      <c r="F2" s="4"/>
      <c r="G2" s="198" t="s">
        <v>144</v>
      </c>
      <c r="H2" s="198"/>
      <c r="I2" s="198"/>
      <c r="J2" s="198"/>
      <c r="K2" s="198"/>
      <c r="L2" s="198"/>
    </row>
    <row r="3" spans="1:12" ht="9" customHeight="1">
      <c r="A3" s="9"/>
      <c r="B3" s="2"/>
      <c r="C3" s="9"/>
      <c r="D3" s="2"/>
      <c r="E3" s="30"/>
      <c r="F3" s="4"/>
      <c r="G3" s="30"/>
      <c r="H3" s="68"/>
      <c r="I3" s="44"/>
      <c r="J3" s="68"/>
      <c r="K3" s="68"/>
      <c r="L3" s="44"/>
    </row>
    <row r="4" spans="1:12" s="2" customFormat="1" ht="42.75" customHeight="1">
      <c r="A4" s="199" t="s">
        <v>139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s="2" customFormat="1" ht="32.25" customHeight="1">
      <c r="A5" s="200" t="s">
        <v>8</v>
      </c>
      <c r="B5" s="202" t="s">
        <v>16</v>
      </c>
      <c r="C5" s="203" t="s">
        <v>17</v>
      </c>
      <c r="D5" s="210" t="s">
        <v>18</v>
      </c>
      <c r="E5" s="210"/>
      <c r="F5" s="210"/>
      <c r="G5" s="210"/>
      <c r="H5" s="210"/>
      <c r="I5" s="210"/>
      <c r="J5" s="210"/>
      <c r="K5" s="210"/>
      <c r="L5" s="210"/>
    </row>
    <row r="6" spans="1:12" s="2" customFormat="1" ht="69.75" customHeight="1">
      <c r="A6" s="201"/>
      <c r="B6" s="202"/>
      <c r="C6" s="203"/>
      <c r="D6" s="51" t="s">
        <v>125</v>
      </c>
      <c r="E6" s="50">
        <v>2014</v>
      </c>
      <c r="F6" s="50">
        <v>2015</v>
      </c>
      <c r="G6" s="66">
        <v>2016</v>
      </c>
      <c r="H6" s="66">
        <v>2017</v>
      </c>
      <c r="I6" s="50"/>
      <c r="J6" s="66">
        <v>2018</v>
      </c>
      <c r="K6" s="66">
        <v>2019</v>
      </c>
      <c r="L6" s="50">
        <v>2020</v>
      </c>
    </row>
    <row r="7" spans="1:12" s="2" customFormat="1" ht="18.75" customHeight="1">
      <c r="A7" s="183" t="s">
        <v>19</v>
      </c>
      <c r="B7" s="183" t="s">
        <v>123</v>
      </c>
      <c r="C7" s="46" t="s">
        <v>0</v>
      </c>
      <c r="D7" s="45">
        <f>D9+D10+D11+D12+D13+D14+D15+D16+D17</f>
        <v>4303459.5980000002</v>
      </c>
      <c r="E7" s="45">
        <f>E9+E10+E11+E12+E13+E14+E15+E16+E17</f>
        <v>547758.03800000006</v>
      </c>
      <c r="F7" s="45">
        <f t="shared" ref="F7:L7" si="0">F9+F10+F11+F12+F13+F14+F15+F16+F17</f>
        <v>566840.80000000005</v>
      </c>
      <c r="G7" s="64">
        <f t="shared" si="0"/>
        <v>1282923.9000000001</v>
      </c>
      <c r="H7" s="64">
        <f t="shared" si="0"/>
        <v>256534</v>
      </c>
      <c r="I7" s="45">
        <f t="shared" si="0"/>
        <v>0</v>
      </c>
      <c r="J7" s="64">
        <f t="shared" si="0"/>
        <v>468305</v>
      </c>
      <c r="K7" s="64">
        <f t="shared" si="0"/>
        <v>89125</v>
      </c>
      <c r="L7" s="45">
        <f t="shared" si="0"/>
        <v>1091972.8599999996</v>
      </c>
    </row>
    <row r="8" spans="1:12" s="2" customFormat="1" ht="17.25" customHeight="1">
      <c r="A8" s="184"/>
      <c r="B8" s="184"/>
      <c r="C8" s="46" t="s">
        <v>124</v>
      </c>
      <c r="D8" s="45"/>
      <c r="E8" s="45"/>
      <c r="F8" s="45"/>
      <c r="G8" s="64"/>
      <c r="H8" s="64"/>
      <c r="I8" s="45"/>
      <c r="J8" s="64"/>
      <c r="K8" s="64"/>
      <c r="L8" s="45"/>
    </row>
    <row r="9" spans="1:12" s="2" customFormat="1" ht="17.25" customHeight="1">
      <c r="A9" s="184"/>
      <c r="B9" s="184"/>
      <c r="C9" s="140" t="s">
        <v>23</v>
      </c>
      <c r="D9" s="141">
        <f t="shared" ref="D9:L9" si="1">D21+D95</f>
        <v>2118877.7799999998</v>
      </c>
      <c r="E9" s="141">
        <f t="shared" si="1"/>
        <v>295638.92000000004</v>
      </c>
      <c r="F9" s="141">
        <f t="shared" si="1"/>
        <v>322367.10000000003</v>
      </c>
      <c r="G9" s="141">
        <f t="shared" si="1"/>
        <v>512966.10000000003</v>
      </c>
      <c r="H9" s="141">
        <f t="shared" si="1"/>
        <v>78135</v>
      </c>
      <c r="I9" s="141">
        <f t="shared" si="1"/>
        <v>0</v>
      </c>
      <c r="J9" s="141">
        <f t="shared" si="1"/>
        <v>199055</v>
      </c>
      <c r="K9" s="141">
        <f t="shared" si="1"/>
        <v>54994</v>
      </c>
      <c r="L9" s="141">
        <f t="shared" si="1"/>
        <v>655721.65999999992</v>
      </c>
    </row>
    <row r="10" spans="1:12" s="2" customFormat="1" ht="17.25" customHeight="1">
      <c r="A10" s="184"/>
      <c r="B10" s="184"/>
      <c r="C10" s="140" t="s">
        <v>24</v>
      </c>
      <c r="D10" s="141">
        <f t="shared" ref="D10:L10" si="2">D20+D82</f>
        <v>835695.43800000008</v>
      </c>
      <c r="E10" s="141">
        <f t="shared" si="2"/>
        <v>110885.738</v>
      </c>
      <c r="F10" s="141">
        <f t="shared" si="2"/>
        <v>174736</v>
      </c>
      <c r="G10" s="141">
        <f t="shared" si="2"/>
        <v>29404</v>
      </c>
      <c r="H10" s="141">
        <f t="shared" si="2"/>
        <v>81441</v>
      </c>
      <c r="I10" s="141">
        <f t="shared" si="2"/>
        <v>0</v>
      </c>
      <c r="J10" s="141">
        <f t="shared" si="2"/>
        <v>26646</v>
      </c>
      <c r="K10" s="141">
        <f t="shared" si="2"/>
        <v>26851</v>
      </c>
      <c r="L10" s="141">
        <f t="shared" si="2"/>
        <v>385731.7</v>
      </c>
    </row>
    <row r="11" spans="1:12" s="2" customFormat="1" ht="17.25" customHeight="1">
      <c r="A11" s="184"/>
      <c r="B11" s="184"/>
      <c r="C11" s="140" t="s">
        <v>51</v>
      </c>
      <c r="D11" s="141">
        <f t="shared" ref="D11:L11" si="3">D22+D96</f>
        <v>184413.30999999997</v>
      </c>
      <c r="E11" s="141">
        <f t="shared" si="3"/>
        <v>14997.13</v>
      </c>
      <c r="F11" s="141">
        <f t="shared" si="3"/>
        <v>6826.1</v>
      </c>
      <c r="G11" s="141">
        <f t="shared" si="3"/>
        <v>107238.5</v>
      </c>
      <c r="H11" s="141">
        <f t="shared" si="3"/>
        <v>15808</v>
      </c>
      <c r="I11" s="141">
        <f t="shared" si="3"/>
        <v>0</v>
      </c>
      <c r="J11" s="141">
        <f t="shared" si="3"/>
        <v>31856</v>
      </c>
      <c r="K11" s="141">
        <f t="shared" si="3"/>
        <v>956</v>
      </c>
      <c r="L11" s="141">
        <f t="shared" si="3"/>
        <v>6731.58</v>
      </c>
    </row>
    <row r="12" spans="1:12" s="2" customFormat="1" ht="17.25" customHeight="1">
      <c r="A12" s="184"/>
      <c r="B12" s="184"/>
      <c r="C12" s="140" t="s">
        <v>52</v>
      </c>
      <c r="D12" s="141">
        <f t="shared" ref="D12:L12" si="4">D23+D97</f>
        <v>244635.37000000002</v>
      </c>
      <c r="E12" s="141">
        <f t="shared" si="4"/>
        <v>28670.36</v>
      </c>
      <c r="F12" s="141">
        <f t="shared" si="4"/>
        <v>11728.4</v>
      </c>
      <c r="G12" s="141">
        <f t="shared" si="4"/>
        <v>133336.02000000002</v>
      </c>
      <c r="H12" s="141">
        <f t="shared" si="4"/>
        <v>14321</v>
      </c>
      <c r="I12" s="141">
        <f t="shared" si="4"/>
        <v>0</v>
      </c>
      <c r="J12" s="141">
        <f t="shared" si="4"/>
        <v>47434</v>
      </c>
      <c r="K12" s="141">
        <f t="shared" si="4"/>
        <v>1423</v>
      </c>
      <c r="L12" s="141">
        <f t="shared" si="4"/>
        <v>7722.59</v>
      </c>
    </row>
    <row r="13" spans="1:12" s="2" customFormat="1" ht="17.25" customHeight="1">
      <c r="A13" s="184"/>
      <c r="B13" s="184"/>
      <c r="C13" s="140" t="s">
        <v>53</v>
      </c>
      <c r="D13" s="141">
        <f t="shared" ref="D13:L13" si="5">D24+D98</f>
        <v>211501.9</v>
      </c>
      <c r="E13" s="141">
        <f t="shared" si="5"/>
        <v>18074.52</v>
      </c>
      <c r="F13" s="141">
        <f t="shared" si="5"/>
        <v>10815.4</v>
      </c>
      <c r="G13" s="141">
        <f t="shared" si="5"/>
        <v>118688.90000000001</v>
      </c>
      <c r="H13" s="141">
        <f t="shared" si="5"/>
        <v>16000</v>
      </c>
      <c r="I13" s="141">
        <f t="shared" si="5"/>
        <v>0</v>
      </c>
      <c r="J13" s="141">
        <f t="shared" si="5"/>
        <v>39071</v>
      </c>
      <c r="K13" s="141">
        <f t="shared" si="5"/>
        <v>1173</v>
      </c>
      <c r="L13" s="141">
        <f t="shared" si="5"/>
        <v>7679.08</v>
      </c>
    </row>
    <row r="14" spans="1:12" s="2" customFormat="1" ht="17.25" customHeight="1">
      <c r="A14" s="184"/>
      <c r="B14" s="184"/>
      <c r="C14" s="140" t="s">
        <v>56</v>
      </c>
      <c r="D14" s="141">
        <f t="shared" ref="D14:L14" si="6">D25+D99</f>
        <v>216312.63</v>
      </c>
      <c r="E14" s="141">
        <f t="shared" si="6"/>
        <v>21970.04</v>
      </c>
      <c r="F14" s="141">
        <f t="shared" si="6"/>
        <v>5498.9</v>
      </c>
      <c r="G14" s="141">
        <f t="shared" si="6"/>
        <v>125112.53</v>
      </c>
      <c r="H14" s="141">
        <f t="shared" si="6"/>
        <v>15952</v>
      </c>
      <c r="I14" s="141">
        <f t="shared" si="6"/>
        <v>0</v>
      </c>
      <c r="J14" s="141">
        <f t="shared" si="6"/>
        <v>37795</v>
      </c>
      <c r="K14" s="141">
        <f t="shared" si="6"/>
        <v>1134</v>
      </c>
      <c r="L14" s="141">
        <f t="shared" si="6"/>
        <v>8850.16</v>
      </c>
    </row>
    <row r="15" spans="1:12" s="2" customFormat="1" ht="17.25" customHeight="1">
      <c r="A15" s="184"/>
      <c r="B15" s="184"/>
      <c r="C15" s="140" t="s">
        <v>54</v>
      </c>
      <c r="D15" s="141">
        <f t="shared" ref="D15:L15" si="7">D26+D100</f>
        <v>254371.96</v>
      </c>
      <c r="E15" s="141">
        <f t="shared" si="7"/>
        <v>25640.66</v>
      </c>
      <c r="F15" s="141">
        <f t="shared" si="7"/>
        <v>14383.300000000001</v>
      </c>
      <c r="G15" s="141">
        <f t="shared" si="7"/>
        <v>138842.85999999999</v>
      </c>
      <c r="H15" s="141">
        <f t="shared" si="7"/>
        <v>16943</v>
      </c>
      <c r="I15" s="141">
        <f t="shared" si="7"/>
        <v>0</v>
      </c>
      <c r="J15" s="141">
        <f t="shared" si="7"/>
        <v>49530</v>
      </c>
      <c r="K15" s="141">
        <f t="shared" si="7"/>
        <v>1486</v>
      </c>
      <c r="L15" s="141">
        <f t="shared" si="7"/>
        <v>7546.14</v>
      </c>
    </row>
    <row r="16" spans="1:12" s="2" customFormat="1" ht="17.25" customHeight="1">
      <c r="A16" s="184"/>
      <c r="B16" s="184"/>
      <c r="C16" s="140" t="s">
        <v>55</v>
      </c>
      <c r="D16" s="141">
        <f t="shared" ref="D16:L16" si="8">D27+D101</f>
        <v>236008.21000000002</v>
      </c>
      <c r="E16" s="141">
        <f t="shared" si="8"/>
        <v>30237.670000000002</v>
      </c>
      <c r="F16" s="141">
        <f t="shared" si="8"/>
        <v>20485.599999999999</v>
      </c>
      <c r="G16" s="141">
        <f t="shared" si="8"/>
        <v>117334.99</v>
      </c>
      <c r="H16" s="141">
        <f t="shared" si="8"/>
        <v>17934</v>
      </c>
      <c r="I16" s="141">
        <f t="shared" si="8"/>
        <v>0</v>
      </c>
      <c r="J16" s="141">
        <f t="shared" si="8"/>
        <v>36918</v>
      </c>
      <c r="K16" s="141">
        <f t="shared" si="8"/>
        <v>1108</v>
      </c>
      <c r="L16" s="141">
        <f t="shared" si="8"/>
        <v>11989.949999999999</v>
      </c>
    </row>
    <row r="17" spans="1:12" s="2" customFormat="1" ht="17.25" customHeight="1">
      <c r="A17" s="185"/>
      <c r="B17" s="185"/>
      <c r="C17" s="140" t="s">
        <v>60</v>
      </c>
      <c r="D17" s="141">
        <f>D28</f>
        <v>1643</v>
      </c>
      <c r="E17" s="141">
        <f t="shared" ref="E17:L17" si="9">E28</f>
        <v>1643</v>
      </c>
      <c r="F17" s="141">
        <f t="shared" si="9"/>
        <v>0</v>
      </c>
      <c r="G17" s="141">
        <f t="shared" si="9"/>
        <v>0</v>
      </c>
      <c r="H17" s="141">
        <f t="shared" si="9"/>
        <v>0</v>
      </c>
      <c r="I17" s="141">
        <f t="shared" si="9"/>
        <v>0</v>
      </c>
      <c r="J17" s="141">
        <f t="shared" si="9"/>
        <v>0</v>
      </c>
      <c r="K17" s="141">
        <f t="shared" si="9"/>
        <v>0</v>
      </c>
      <c r="L17" s="141">
        <f t="shared" si="9"/>
        <v>0</v>
      </c>
    </row>
    <row r="18" spans="1:12" s="2" customFormat="1" ht="15.75" customHeight="1">
      <c r="A18" s="183" t="s">
        <v>9</v>
      </c>
      <c r="B18" s="183" t="s">
        <v>126</v>
      </c>
      <c r="C18" s="46" t="s">
        <v>0</v>
      </c>
      <c r="D18" s="45">
        <f>D20+D21+D22+D23+D24+D25+D26+D27+D28</f>
        <v>3514819.1100000003</v>
      </c>
      <c r="E18" s="45">
        <f t="shared" ref="E18:L18" si="10">E20+E21+E22+E23+E24+E25+E26+E27+E28</f>
        <v>441958.07000000007</v>
      </c>
      <c r="F18" s="45">
        <f t="shared" si="10"/>
        <v>398759.60000000009</v>
      </c>
      <c r="G18" s="64">
        <f t="shared" si="10"/>
        <v>1171047.8000000003</v>
      </c>
      <c r="H18" s="64">
        <f t="shared" si="10"/>
        <v>201474</v>
      </c>
      <c r="I18" s="45">
        <f t="shared" si="10"/>
        <v>0</v>
      </c>
      <c r="J18" s="64">
        <f t="shared" si="10"/>
        <v>468305</v>
      </c>
      <c r="K18" s="64">
        <f t="shared" si="10"/>
        <v>89125</v>
      </c>
      <c r="L18" s="45">
        <f t="shared" si="10"/>
        <v>744149.64</v>
      </c>
    </row>
    <row r="19" spans="1:12" s="2" customFormat="1" ht="15" customHeight="1">
      <c r="A19" s="184"/>
      <c r="B19" s="184"/>
      <c r="C19" s="46" t="s">
        <v>124</v>
      </c>
      <c r="D19" s="45"/>
      <c r="E19" s="45"/>
      <c r="F19" s="45"/>
      <c r="G19" s="64"/>
      <c r="H19" s="64"/>
      <c r="I19" s="45"/>
      <c r="J19" s="64"/>
      <c r="K19" s="64"/>
      <c r="L19" s="45"/>
    </row>
    <row r="20" spans="1:12" s="2" customFormat="1">
      <c r="A20" s="184"/>
      <c r="B20" s="184"/>
      <c r="C20" s="46" t="s">
        <v>24</v>
      </c>
      <c r="D20" s="45">
        <f>D31</f>
        <v>211861.2</v>
      </c>
      <c r="E20" s="45">
        <f t="shared" ref="E20:L20" si="11">E31</f>
        <v>31699.5</v>
      </c>
      <c r="F20" s="45">
        <f t="shared" si="11"/>
        <v>27750</v>
      </c>
      <c r="G20" s="64">
        <f t="shared" si="11"/>
        <v>28450</v>
      </c>
      <c r="H20" s="64">
        <f t="shared" si="11"/>
        <v>26441</v>
      </c>
      <c r="I20" s="45">
        <f t="shared" si="11"/>
        <v>0</v>
      </c>
      <c r="J20" s="64">
        <f t="shared" si="11"/>
        <v>26646</v>
      </c>
      <c r="K20" s="64">
        <f t="shared" si="11"/>
        <v>26851</v>
      </c>
      <c r="L20" s="45">
        <f t="shared" si="11"/>
        <v>44023.7</v>
      </c>
    </row>
    <row r="21" spans="1:12" s="2" customFormat="1">
      <c r="A21" s="184"/>
      <c r="B21" s="184"/>
      <c r="C21" s="46" t="s">
        <v>23</v>
      </c>
      <c r="D21" s="45">
        <f>D32+D41+D50+D53+D56+D66+D57+D79</f>
        <v>2112775.7799999998</v>
      </c>
      <c r="E21" s="45">
        <f>E32+E41+E50+E53+E56+E66</f>
        <v>289536.92000000004</v>
      </c>
      <c r="F21" s="45">
        <f>F32+F41+F50+F53+F56+F66+F57</f>
        <v>322367.10000000003</v>
      </c>
      <c r="G21" s="64">
        <f>G32+G41+G50+G53+G56+G66</f>
        <v>512966.10000000003</v>
      </c>
      <c r="H21" s="64">
        <f>H32+H41+H50+H53+H56+H66+H79</f>
        <v>78135</v>
      </c>
      <c r="I21" s="64">
        <f>I32+I41+I50+I53+I56+I66+I79</f>
        <v>0</v>
      </c>
      <c r="J21" s="64">
        <f>J32+J41+J50+J53+J56+J66+J79</f>
        <v>199055</v>
      </c>
      <c r="K21" s="64">
        <f>K32+K41+K50+K53+K56+K66+K79</f>
        <v>54994</v>
      </c>
      <c r="L21" s="45">
        <f t="shared" ref="L21" si="12">L32+L41+L50+L53+L56+L66</f>
        <v>655721.65999999992</v>
      </c>
    </row>
    <row r="22" spans="1:12" s="2" customFormat="1" ht="19.5" customHeight="1">
      <c r="A22" s="184"/>
      <c r="B22" s="184"/>
      <c r="C22" s="46" t="s">
        <v>51</v>
      </c>
      <c r="D22" s="45">
        <f>D33+D42+D67+D58</f>
        <v>162311.09999999998</v>
      </c>
      <c r="E22" s="45">
        <f t="shared" ref="E22:L22" si="13">E33+E42+E67</f>
        <v>13326.64</v>
      </c>
      <c r="F22" s="45">
        <f t="shared" si="13"/>
        <v>6326.1</v>
      </c>
      <c r="G22" s="64">
        <f t="shared" ref="G22:G27" si="14">G33+G42+G67+G58</f>
        <v>88144.3</v>
      </c>
      <c r="H22" s="64">
        <f t="shared" si="13"/>
        <v>15808</v>
      </c>
      <c r="I22" s="45">
        <f t="shared" si="13"/>
        <v>0</v>
      </c>
      <c r="J22" s="64">
        <f t="shared" si="13"/>
        <v>31856</v>
      </c>
      <c r="K22" s="64">
        <f t="shared" si="13"/>
        <v>956</v>
      </c>
      <c r="L22" s="45">
        <f t="shared" si="13"/>
        <v>5894.06</v>
      </c>
    </row>
    <row r="23" spans="1:12" s="2" customFormat="1">
      <c r="A23" s="184"/>
      <c r="B23" s="184"/>
      <c r="C23" s="46" t="s">
        <v>52</v>
      </c>
      <c r="D23" s="45">
        <f t="shared" ref="D23:D27" si="15">D34+D43+D68+D59</f>
        <v>208606.14</v>
      </c>
      <c r="E23" s="45">
        <f t="shared" ref="E23:L23" si="16">E34+E43+E68</f>
        <v>19157.080000000002</v>
      </c>
      <c r="F23" s="45">
        <f t="shared" si="16"/>
        <v>8403.4</v>
      </c>
      <c r="G23" s="64">
        <f t="shared" si="14"/>
        <v>111400.32000000001</v>
      </c>
      <c r="H23" s="64">
        <f t="shared" si="16"/>
        <v>14261</v>
      </c>
      <c r="I23" s="45">
        <f t="shared" si="16"/>
        <v>0</v>
      </c>
      <c r="J23" s="64">
        <f t="shared" si="16"/>
        <v>47434</v>
      </c>
      <c r="K23" s="64">
        <f t="shared" si="16"/>
        <v>1423</v>
      </c>
      <c r="L23" s="45">
        <f t="shared" si="16"/>
        <v>6527.34</v>
      </c>
    </row>
    <row r="24" spans="1:12" s="2" customFormat="1">
      <c r="A24" s="184"/>
      <c r="B24" s="184"/>
      <c r="C24" s="46" t="s">
        <v>53</v>
      </c>
      <c r="D24" s="45">
        <f t="shared" si="15"/>
        <v>186584.94999999998</v>
      </c>
      <c r="E24" s="45">
        <f t="shared" ref="E24:L24" si="17">E35+E44+E69</f>
        <v>14759.8</v>
      </c>
      <c r="F24" s="45">
        <f t="shared" si="17"/>
        <v>9342.4</v>
      </c>
      <c r="G24" s="64">
        <f t="shared" si="14"/>
        <v>99440.700000000012</v>
      </c>
      <c r="H24" s="64">
        <f t="shared" si="17"/>
        <v>16000</v>
      </c>
      <c r="I24" s="45">
        <f t="shared" si="17"/>
        <v>0</v>
      </c>
      <c r="J24" s="64">
        <f t="shared" si="17"/>
        <v>39071</v>
      </c>
      <c r="K24" s="64">
        <f t="shared" si="17"/>
        <v>1173</v>
      </c>
      <c r="L24" s="45">
        <f t="shared" si="17"/>
        <v>6798.05</v>
      </c>
    </row>
    <row r="25" spans="1:12" s="2" customFormat="1" ht="17.25" customHeight="1">
      <c r="A25" s="184"/>
      <c r="B25" s="184"/>
      <c r="C25" s="46" t="s">
        <v>56</v>
      </c>
      <c r="D25" s="45">
        <f t="shared" si="15"/>
        <v>193296.38</v>
      </c>
      <c r="E25" s="45">
        <f t="shared" ref="E25:L25" si="18">E36+E45+E70</f>
        <v>20135.7</v>
      </c>
      <c r="F25" s="45">
        <f t="shared" si="18"/>
        <v>4998.8999999999996</v>
      </c>
      <c r="G25" s="64">
        <f t="shared" si="14"/>
        <v>105366.03</v>
      </c>
      <c r="H25" s="64">
        <f t="shared" si="18"/>
        <v>15952</v>
      </c>
      <c r="I25" s="45">
        <f t="shared" si="18"/>
        <v>0</v>
      </c>
      <c r="J25" s="64">
        <f t="shared" si="18"/>
        <v>37795</v>
      </c>
      <c r="K25" s="64">
        <f t="shared" si="18"/>
        <v>1134</v>
      </c>
      <c r="L25" s="45">
        <f t="shared" si="18"/>
        <v>7914.75</v>
      </c>
    </row>
    <row r="26" spans="1:12" s="2" customFormat="1">
      <c r="A26" s="184"/>
      <c r="B26" s="184"/>
      <c r="C26" s="46" t="s">
        <v>54</v>
      </c>
      <c r="D26" s="45">
        <f t="shared" si="15"/>
        <v>224469.43</v>
      </c>
      <c r="E26" s="45">
        <f t="shared" ref="E26:L26" si="19">E37+E46+E71</f>
        <v>22319.25</v>
      </c>
      <c r="F26" s="45">
        <f t="shared" si="19"/>
        <v>12224.800000000001</v>
      </c>
      <c r="G26" s="64">
        <f t="shared" si="14"/>
        <v>115597.36</v>
      </c>
      <c r="H26" s="64">
        <f t="shared" si="19"/>
        <v>16943</v>
      </c>
      <c r="I26" s="45">
        <f t="shared" si="19"/>
        <v>0</v>
      </c>
      <c r="J26" s="64">
        <f t="shared" si="19"/>
        <v>49530</v>
      </c>
      <c r="K26" s="64">
        <f t="shared" si="19"/>
        <v>1486</v>
      </c>
      <c r="L26" s="45">
        <f t="shared" si="19"/>
        <v>6369.02</v>
      </c>
    </row>
    <row r="27" spans="1:12" s="2" customFormat="1" ht="20.25" customHeight="1">
      <c r="A27" s="184"/>
      <c r="B27" s="184"/>
      <c r="C27" s="46" t="s">
        <v>55</v>
      </c>
      <c r="D27" s="45">
        <f t="shared" si="15"/>
        <v>213271.13</v>
      </c>
      <c r="E27" s="45">
        <f t="shared" ref="E27:L27" si="20">E38+E47+E72</f>
        <v>29380.18</v>
      </c>
      <c r="F27" s="45">
        <f t="shared" si="20"/>
        <v>7346.9</v>
      </c>
      <c r="G27" s="64">
        <f t="shared" si="14"/>
        <v>109682.99</v>
      </c>
      <c r="H27" s="64">
        <f t="shared" si="20"/>
        <v>17934</v>
      </c>
      <c r="I27" s="45">
        <f t="shared" si="20"/>
        <v>0</v>
      </c>
      <c r="J27" s="64">
        <f t="shared" si="20"/>
        <v>36918</v>
      </c>
      <c r="K27" s="64">
        <f t="shared" si="20"/>
        <v>1108</v>
      </c>
      <c r="L27" s="45">
        <f t="shared" si="20"/>
        <v>10901.06</v>
      </c>
    </row>
    <row r="28" spans="1:12" s="2" customFormat="1" ht="16.5" customHeight="1">
      <c r="A28" s="185"/>
      <c r="B28" s="185"/>
      <c r="C28" s="46" t="s">
        <v>60</v>
      </c>
      <c r="D28" s="45">
        <f>D75</f>
        <v>1643</v>
      </c>
      <c r="E28" s="45">
        <f t="shared" ref="E28:L28" si="21">E75</f>
        <v>1643</v>
      </c>
      <c r="F28" s="45">
        <f t="shared" si="21"/>
        <v>0</v>
      </c>
      <c r="G28" s="64">
        <f t="shared" si="21"/>
        <v>0</v>
      </c>
      <c r="H28" s="64">
        <f t="shared" si="21"/>
        <v>0</v>
      </c>
      <c r="I28" s="45">
        <f t="shared" si="21"/>
        <v>0</v>
      </c>
      <c r="J28" s="64">
        <f t="shared" si="21"/>
        <v>0</v>
      </c>
      <c r="K28" s="64">
        <f t="shared" si="21"/>
        <v>0</v>
      </c>
      <c r="L28" s="45">
        <f t="shared" si="21"/>
        <v>0</v>
      </c>
    </row>
    <row r="29" spans="1:12" s="2" customFormat="1" ht="32.25" customHeight="1">
      <c r="A29" s="177" t="s">
        <v>42</v>
      </c>
      <c r="B29" s="179" t="s">
        <v>30</v>
      </c>
      <c r="C29" s="46" t="s">
        <v>0</v>
      </c>
      <c r="D29" s="45">
        <f>D31+D32+D33+D34+D35+D36+D37+D38</f>
        <v>1892390.51</v>
      </c>
      <c r="E29" s="45">
        <f t="shared" ref="E29:L29" si="22">E31+E32+E33+E34+E35+E36+E37+E38</f>
        <v>219388.15</v>
      </c>
      <c r="F29" s="45">
        <f t="shared" si="22"/>
        <v>170090.30000000002</v>
      </c>
      <c r="G29" s="64">
        <f t="shared" si="22"/>
        <v>677116.23</v>
      </c>
      <c r="H29" s="64">
        <f t="shared" si="22"/>
        <v>136783.9</v>
      </c>
      <c r="I29" s="45">
        <f t="shared" si="22"/>
        <v>0</v>
      </c>
      <c r="J29" s="64">
        <f t="shared" si="22"/>
        <v>404950</v>
      </c>
      <c r="K29" s="64">
        <f t="shared" si="22"/>
        <v>38202</v>
      </c>
      <c r="L29" s="45">
        <f t="shared" si="22"/>
        <v>245859.93</v>
      </c>
    </row>
    <row r="30" spans="1:12" s="2" customFormat="1" ht="19.5" customHeight="1">
      <c r="A30" s="178"/>
      <c r="B30" s="180"/>
      <c r="C30" s="46" t="s">
        <v>124</v>
      </c>
      <c r="D30" s="45"/>
      <c r="E30" s="45"/>
      <c r="F30" s="24"/>
      <c r="G30" s="64"/>
      <c r="H30" s="64"/>
      <c r="I30" s="24"/>
      <c r="J30" s="64"/>
      <c r="K30" s="64"/>
      <c r="L30" s="24"/>
    </row>
    <row r="31" spans="1:12" s="2" customFormat="1" ht="18.75" customHeight="1">
      <c r="A31" s="178"/>
      <c r="B31" s="180"/>
      <c r="C31" s="46" t="s">
        <v>24</v>
      </c>
      <c r="D31" s="45">
        <f>E31+F31+G31+H31+J31+K31+L31</f>
        <v>211861.2</v>
      </c>
      <c r="E31" s="45">
        <v>31699.5</v>
      </c>
      <c r="F31" s="24">
        <v>27750</v>
      </c>
      <c r="G31" s="64">
        <v>28450</v>
      </c>
      <c r="H31" s="64">
        <v>26441</v>
      </c>
      <c r="I31" s="24"/>
      <c r="J31" s="64">
        <v>26646</v>
      </c>
      <c r="K31" s="64">
        <v>26851</v>
      </c>
      <c r="L31" s="24">
        <v>44023.7</v>
      </c>
    </row>
    <row r="32" spans="1:12" s="2" customFormat="1" ht="18.75" customHeight="1">
      <c r="A32" s="178"/>
      <c r="B32" s="180"/>
      <c r="C32" s="140" t="s">
        <v>23</v>
      </c>
      <c r="D32" s="141">
        <f t="shared" ref="D32:D38" si="23">E32+F32+G32+H32+J32+K32+L32</f>
        <v>811647.73</v>
      </c>
      <c r="E32" s="141">
        <v>105343.8</v>
      </c>
      <c r="F32" s="24">
        <v>101897.4</v>
      </c>
      <c r="G32" s="141">
        <v>293311.68</v>
      </c>
      <c r="H32" s="141">
        <v>13891.9</v>
      </c>
      <c r="I32" s="24"/>
      <c r="J32" s="141">
        <v>135700</v>
      </c>
      <c r="K32" s="141">
        <v>4071</v>
      </c>
      <c r="L32" s="24">
        <v>157431.95000000001</v>
      </c>
    </row>
    <row r="33" spans="1:12" s="2" customFormat="1" ht="18" customHeight="1">
      <c r="A33" s="178"/>
      <c r="B33" s="180"/>
      <c r="C33" s="140" t="s">
        <v>51</v>
      </c>
      <c r="D33" s="141">
        <f t="shared" si="23"/>
        <v>121358.34999999999</v>
      </c>
      <c r="E33" s="141">
        <f>1395.09+8388.5</f>
        <v>9783.59</v>
      </c>
      <c r="F33" s="24">
        <v>5288.1</v>
      </c>
      <c r="G33" s="141">
        <v>51772.6</v>
      </c>
      <c r="H33" s="141">
        <v>15808</v>
      </c>
      <c r="I33" s="24"/>
      <c r="J33" s="141">
        <v>31856</v>
      </c>
      <c r="K33" s="141">
        <v>956</v>
      </c>
      <c r="L33" s="24">
        <v>5894.06</v>
      </c>
    </row>
    <row r="34" spans="1:12" s="2" customFormat="1" ht="17.25" customHeight="1">
      <c r="A34" s="178"/>
      <c r="B34" s="180"/>
      <c r="C34" s="140" t="s">
        <v>52</v>
      </c>
      <c r="D34" s="141">
        <f t="shared" si="23"/>
        <v>147276.16</v>
      </c>
      <c r="E34" s="141">
        <f>1906.5+5514</f>
        <v>7420.5</v>
      </c>
      <c r="F34" s="24">
        <v>6822.1</v>
      </c>
      <c r="G34" s="141">
        <v>63388.22</v>
      </c>
      <c r="H34" s="141">
        <v>14261</v>
      </c>
      <c r="I34" s="24"/>
      <c r="J34" s="141">
        <v>47434</v>
      </c>
      <c r="K34" s="141">
        <v>1423</v>
      </c>
      <c r="L34" s="24">
        <v>6527.34</v>
      </c>
    </row>
    <row r="35" spans="1:12" s="2" customFormat="1" ht="17.25" customHeight="1">
      <c r="A35" s="178"/>
      <c r="B35" s="180"/>
      <c r="C35" s="140" t="s">
        <v>53</v>
      </c>
      <c r="D35" s="141">
        <f t="shared" si="23"/>
        <v>142075.84999999998</v>
      </c>
      <c r="E35" s="141">
        <v>12230.5</v>
      </c>
      <c r="F35" s="24">
        <v>8337</v>
      </c>
      <c r="G35" s="141">
        <v>58466.3</v>
      </c>
      <c r="H35" s="141">
        <v>16000</v>
      </c>
      <c r="I35" s="24"/>
      <c r="J35" s="141">
        <v>39071</v>
      </c>
      <c r="K35" s="141">
        <v>1173</v>
      </c>
      <c r="L35" s="24">
        <v>6798.05</v>
      </c>
    </row>
    <row r="36" spans="1:12" s="2" customFormat="1" ht="17.25" customHeight="1">
      <c r="A36" s="178"/>
      <c r="B36" s="180"/>
      <c r="C36" s="140" t="s">
        <v>56</v>
      </c>
      <c r="D36" s="141">
        <f t="shared" si="23"/>
        <v>133245.13</v>
      </c>
      <c r="E36" s="141">
        <f>1495.6+12741.5</f>
        <v>14237.1</v>
      </c>
      <c r="F36" s="24">
        <v>4090.7</v>
      </c>
      <c r="G36" s="141">
        <v>52121.58</v>
      </c>
      <c r="H36" s="141">
        <v>15952</v>
      </c>
      <c r="I36" s="24"/>
      <c r="J36" s="141">
        <v>37795</v>
      </c>
      <c r="K36" s="141">
        <v>1134</v>
      </c>
      <c r="L36" s="24">
        <v>7914.75</v>
      </c>
    </row>
    <row r="37" spans="1:12" s="2" customFormat="1" ht="17.25" customHeight="1">
      <c r="A37" s="178"/>
      <c r="B37" s="180"/>
      <c r="C37" s="140" t="s">
        <v>54</v>
      </c>
      <c r="D37" s="141">
        <f t="shared" si="23"/>
        <v>178387.83</v>
      </c>
      <c r="E37" s="141">
        <f>1990.45+17749</f>
        <v>19739.45</v>
      </c>
      <c r="F37" s="24">
        <v>9630.7000000000007</v>
      </c>
      <c r="G37" s="141">
        <v>75136.66</v>
      </c>
      <c r="H37" s="141">
        <v>16496</v>
      </c>
      <c r="I37" s="24"/>
      <c r="J37" s="141">
        <v>49530</v>
      </c>
      <c r="K37" s="141">
        <v>1486</v>
      </c>
      <c r="L37" s="24">
        <v>6369.02</v>
      </c>
    </row>
    <row r="38" spans="1:12" s="2" customFormat="1" ht="22.5" customHeight="1">
      <c r="A38" s="197"/>
      <c r="B38" s="186"/>
      <c r="C38" s="140" t="s">
        <v>55</v>
      </c>
      <c r="D38" s="141">
        <f t="shared" si="23"/>
        <v>146538.26</v>
      </c>
      <c r="E38" s="141">
        <f>1995.21+16938.5</f>
        <v>18933.71</v>
      </c>
      <c r="F38" s="24">
        <v>6274.3</v>
      </c>
      <c r="G38" s="141">
        <v>54469.19</v>
      </c>
      <c r="H38" s="141">
        <v>17934</v>
      </c>
      <c r="I38" s="24"/>
      <c r="J38" s="141">
        <v>36918</v>
      </c>
      <c r="K38" s="141">
        <v>1108</v>
      </c>
      <c r="L38" s="24">
        <v>10901.06</v>
      </c>
    </row>
    <row r="39" spans="1:12" s="2" customFormat="1" ht="34.5" customHeight="1">
      <c r="A39" s="183" t="s">
        <v>43</v>
      </c>
      <c r="B39" s="179" t="s">
        <v>40</v>
      </c>
      <c r="C39" s="46" t="s">
        <v>0</v>
      </c>
      <c r="D39" s="45">
        <f>D41+D42+D43+D44+D45+D46+D47</f>
        <v>679295.48</v>
      </c>
      <c r="E39" s="45">
        <f t="shared" ref="E39:L39" si="24">E41+E42+E43+E44+E45+E46+E47</f>
        <v>85334.21</v>
      </c>
      <c r="F39" s="45">
        <f>F41+F42+F43+F44+F45+F46+F47</f>
        <v>121328.1</v>
      </c>
      <c r="G39" s="64">
        <f>G41+G42+G43+G44+G45+G46+G47</f>
        <v>419647.37000000005</v>
      </c>
      <c r="H39" s="64">
        <f t="shared" si="24"/>
        <v>447</v>
      </c>
      <c r="I39" s="45">
        <f t="shared" si="24"/>
        <v>0</v>
      </c>
      <c r="J39" s="64">
        <f t="shared" si="24"/>
        <v>24747</v>
      </c>
      <c r="K39" s="64">
        <f t="shared" si="24"/>
        <v>19578</v>
      </c>
      <c r="L39" s="45">
        <f t="shared" si="24"/>
        <v>8213.7999999999993</v>
      </c>
    </row>
    <row r="40" spans="1:12" s="2" customFormat="1">
      <c r="A40" s="184"/>
      <c r="B40" s="180"/>
      <c r="C40" s="46" t="s">
        <v>124</v>
      </c>
      <c r="D40" s="45"/>
      <c r="E40" s="45"/>
      <c r="F40" s="24"/>
      <c r="G40" s="64"/>
      <c r="H40" s="64"/>
      <c r="I40" s="24"/>
      <c r="J40" s="64"/>
      <c r="K40" s="64"/>
      <c r="L40" s="24"/>
    </row>
    <row r="41" spans="1:12" s="2" customFormat="1" ht="17.25" customHeight="1">
      <c r="A41" s="184"/>
      <c r="B41" s="180"/>
      <c r="C41" s="140" t="s">
        <v>23</v>
      </c>
      <c r="D41" s="141">
        <f>E41+F41+G41+H41+J41+K41+L41</f>
        <v>414470.93</v>
      </c>
      <c r="E41" s="141">
        <v>61187.41</v>
      </c>
      <c r="F41" s="24">
        <v>113128.5</v>
      </c>
      <c r="G41" s="141">
        <v>187616.22</v>
      </c>
      <c r="H41" s="141">
        <v>0</v>
      </c>
      <c r="I41" s="24"/>
      <c r="J41" s="141">
        <v>24747</v>
      </c>
      <c r="K41" s="141">
        <v>19578</v>
      </c>
      <c r="L41" s="24">
        <v>8213.7999999999993</v>
      </c>
    </row>
    <row r="42" spans="1:12" s="2" customFormat="1" ht="17.25" customHeight="1">
      <c r="A42" s="184"/>
      <c r="B42" s="180"/>
      <c r="C42" s="140" t="s">
        <v>51</v>
      </c>
      <c r="D42" s="141">
        <f t="shared" ref="D42:D47" si="25">E42+F42+G42+H42+J42+K42+L42</f>
        <v>32417.7</v>
      </c>
      <c r="E42" s="141">
        <f>1039</f>
        <v>1039</v>
      </c>
      <c r="F42" s="24">
        <v>1038</v>
      </c>
      <c r="G42" s="141">
        <v>30340.7</v>
      </c>
      <c r="H42" s="141">
        <v>0</v>
      </c>
      <c r="I42" s="24"/>
      <c r="J42" s="141">
        <v>0</v>
      </c>
      <c r="K42" s="141">
        <v>0</v>
      </c>
      <c r="L42" s="24">
        <v>0</v>
      </c>
    </row>
    <row r="43" spans="1:12" s="2" customFormat="1" ht="17.25" customHeight="1">
      <c r="A43" s="184"/>
      <c r="B43" s="180"/>
      <c r="C43" s="140" t="s">
        <v>52</v>
      </c>
      <c r="D43" s="141">
        <f t="shared" si="25"/>
        <v>46992.1</v>
      </c>
      <c r="E43" s="141">
        <f>924.7+8398</f>
        <v>9322.7000000000007</v>
      </c>
      <c r="F43" s="24">
        <v>1581.3</v>
      </c>
      <c r="G43" s="141">
        <v>36088.1</v>
      </c>
      <c r="H43" s="141">
        <v>0</v>
      </c>
      <c r="I43" s="24"/>
      <c r="J43" s="141">
        <v>0</v>
      </c>
      <c r="K43" s="141">
        <v>0</v>
      </c>
      <c r="L43" s="24">
        <v>0</v>
      </c>
    </row>
    <row r="44" spans="1:12" s="2" customFormat="1" ht="17.25" customHeight="1">
      <c r="A44" s="184"/>
      <c r="B44" s="180"/>
      <c r="C44" s="140" t="s">
        <v>53</v>
      </c>
      <c r="D44" s="141">
        <f t="shared" si="25"/>
        <v>35487.1</v>
      </c>
      <c r="E44" s="141">
        <f>871.3</f>
        <v>871.3</v>
      </c>
      <c r="F44" s="24">
        <v>1005.4</v>
      </c>
      <c r="G44" s="141">
        <v>33610.400000000001</v>
      </c>
      <c r="H44" s="141">
        <v>0</v>
      </c>
      <c r="I44" s="24"/>
      <c r="J44" s="141">
        <v>0</v>
      </c>
      <c r="K44" s="141">
        <v>0</v>
      </c>
      <c r="L44" s="24">
        <v>0</v>
      </c>
    </row>
    <row r="45" spans="1:12" s="2" customFormat="1" ht="17.25" customHeight="1">
      <c r="A45" s="184"/>
      <c r="B45" s="180"/>
      <c r="C45" s="140" t="s">
        <v>56</v>
      </c>
      <c r="D45" s="141">
        <f t="shared" si="25"/>
        <v>53060.25</v>
      </c>
      <c r="E45" s="141">
        <f>785.6+2986</f>
        <v>3771.6</v>
      </c>
      <c r="F45" s="24">
        <v>908.2</v>
      </c>
      <c r="G45" s="141">
        <v>48380.45</v>
      </c>
      <c r="H45" s="141">
        <v>0</v>
      </c>
      <c r="I45" s="24"/>
      <c r="J45" s="141">
        <v>0</v>
      </c>
      <c r="K45" s="141">
        <v>0</v>
      </c>
      <c r="L45" s="24">
        <v>0</v>
      </c>
    </row>
    <row r="46" spans="1:12" s="2" customFormat="1" ht="17.25" customHeight="1">
      <c r="A46" s="184"/>
      <c r="B46" s="180"/>
      <c r="C46" s="140" t="s">
        <v>54</v>
      </c>
      <c r="D46" s="141">
        <f t="shared" si="25"/>
        <v>42859.6</v>
      </c>
      <c r="E46" s="141">
        <v>937.8</v>
      </c>
      <c r="F46" s="24">
        <v>2594.1</v>
      </c>
      <c r="G46" s="141">
        <v>38880.699999999997</v>
      </c>
      <c r="H46" s="141">
        <v>447</v>
      </c>
      <c r="I46" s="24"/>
      <c r="J46" s="141">
        <v>0</v>
      </c>
      <c r="K46" s="141">
        <v>0</v>
      </c>
      <c r="L46" s="24">
        <v>0</v>
      </c>
    </row>
    <row r="47" spans="1:12" s="2" customFormat="1" ht="21.75" customHeight="1">
      <c r="A47" s="185"/>
      <c r="B47" s="186"/>
      <c r="C47" s="140" t="s">
        <v>55</v>
      </c>
      <c r="D47" s="141">
        <f t="shared" si="25"/>
        <v>54007.8</v>
      </c>
      <c r="E47" s="141">
        <f>942.4+7262</f>
        <v>8204.4</v>
      </c>
      <c r="F47" s="24">
        <v>1072.5999999999999</v>
      </c>
      <c r="G47" s="141">
        <v>44730.8</v>
      </c>
      <c r="H47" s="141">
        <v>0</v>
      </c>
      <c r="I47" s="24"/>
      <c r="J47" s="141">
        <v>0</v>
      </c>
      <c r="K47" s="141">
        <v>0</v>
      </c>
      <c r="L47" s="24">
        <v>0</v>
      </c>
    </row>
    <row r="48" spans="1:12" s="2" customFormat="1" ht="30" customHeight="1">
      <c r="A48" s="183" t="s">
        <v>44</v>
      </c>
      <c r="B48" s="188" t="s">
        <v>41</v>
      </c>
      <c r="C48" s="46" t="s">
        <v>0</v>
      </c>
      <c r="D48" s="45">
        <f>D50</f>
        <v>6110.62</v>
      </c>
      <c r="E48" s="45">
        <f t="shared" ref="E48:L48" si="26">E50</f>
        <v>4697.2</v>
      </c>
      <c r="F48" s="45">
        <f t="shared" si="26"/>
        <v>211.2</v>
      </c>
      <c r="G48" s="64">
        <f t="shared" si="26"/>
        <v>0</v>
      </c>
      <c r="H48" s="64">
        <f t="shared" si="26"/>
        <v>210</v>
      </c>
      <c r="I48" s="45">
        <f t="shared" si="26"/>
        <v>0</v>
      </c>
      <c r="J48" s="64">
        <f t="shared" si="26"/>
        <v>0</v>
      </c>
      <c r="K48" s="64">
        <f t="shared" si="26"/>
        <v>0</v>
      </c>
      <c r="L48" s="45">
        <f t="shared" si="26"/>
        <v>992.22</v>
      </c>
    </row>
    <row r="49" spans="1:12" s="2" customFormat="1" ht="15.75" customHeight="1">
      <c r="A49" s="184"/>
      <c r="B49" s="188"/>
      <c r="C49" s="46" t="s">
        <v>124</v>
      </c>
      <c r="D49" s="45"/>
      <c r="E49" s="45"/>
      <c r="F49" s="24"/>
      <c r="G49" s="64"/>
      <c r="H49" s="64"/>
      <c r="I49" s="24"/>
      <c r="J49" s="64"/>
      <c r="K49" s="64"/>
      <c r="L49" s="24"/>
    </row>
    <row r="50" spans="1:12" s="2" customFormat="1" ht="43.5" customHeight="1">
      <c r="A50" s="185"/>
      <c r="B50" s="188"/>
      <c r="C50" s="46" t="s">
        <v>23</v>
      </c>
      <c r="D50" s="45">
        <f>E50+F50+G50+H50+J50+K50+L50</f>
        <v>6110.62</v>
      </c>
      <c r="E50" s="45">
        <v>4697.2</v>
      </c>
      <c r="F50" s="24">
        <v>211.2</v>
      </c>
      <c r="G50" s="64">
        <v>0</v>
      </c>
      <c r="H50" s="64">
        <v>210</v>
      </c>
      <c r="I50" s="24"/>
      <c r="J50" s="64">
        <v>0</v>
      </c>
      <c r="K50" s="64">
        <v>0</v>
      </c>
      <c r="L50" s="24">
        <v>992.22</v>
      </c>
    </row>
    <row r="51" spans="1:12" s="2" customFormat="1" ht="26.25" customHeight="1">
      <c r="A51" s="183" t="s">
        <v>45</v>
      </c>
      <c r="B51" s="179" t="s">
        <v>28</v>
      </c>
      <c r="C51" s="46" t="s">
        <v>0</v>
      </c>
      <c r="D51" s="45">
        <f>D53</f>
        <v>593113.35</v>
      </c>
      <c r="E51" s="45">
        <f t="shared" ref="E51:L51" si="27">E53</f>
        <v>83386.75</v>
      </c>
      <c r="F51" s="45">
        <f t="shared" si="27"/>
        <v>20623.2</v>
      </c>
      <c r="G51" s="64">
        <v>0</v>
      </c>
      <c r="H51" s="64">
        <f t="shared" si="27"/>
        <v>738.1</v>
      </c>
      <c r="I51" s="45">
        <f t="shared" si="27"/>
        <v>0</v>
      </c>
      <c r="J51" s="64">
        <f t="shared" si="27"/>
        <v>0</v>
      </c>
      <c r="K51" s="64">
        <f t="shared" si="27"/>
        <v>0</v>
      </c>
      <c r="L51" s="45">
        <f t="shared" si="27"/>
        <v>487672.1</v>
      </c>
    </row>
    <row r="52" spans="1:12" s="2" customFormat="1" ht="18.75" customHeight="1">
      <c r="A52" s="184"/>
      <c r="B52" s="180"/>
      <c r="C52" s="46" t="s">
        <v>124</v>
      </c>
      <c r="D52" s="46"/>
      <c r="E52" s="46"/>
      <c r="F52" s="46"/>
      <c r="G52" s="65"/>
      <c r="H52" s="65"/>
      <c r="I52" s="46"/>
      <c r="J52" s="65"/>
      <c r="K52" s="65"/>
      <c r="L52" s="46"/>
    </row>
    <row r="53" spans="1:12" s="2" customFormat="1" ht="18.75" customHeight="1">
      <c r="A53" s="185"/>
      <c r="B53" s="186"/>
      <c r="C53" s="140" t="s">
        <v>23</v>
      </c>
      <c r="D53" s="141">
        <f>E53+F53+G53+H53+J53+L53+K53</f>
        <v>593113.35</v>
      </c>
      <c r="E53" s="141">
        <f>1409.61+81977.14</f>
        <v>83386.75</v>
      </c>
      <c r="F53" s="24">
        <f>20623.2</f>
        <v>20623.2</v>
      </c>
      <c r="G53" s="141">
        <v>693.2</v>
      </c>
      <c r="H53" s="141">
        <v>738.1</v>
      </c>
      <c r="I53" s="24"/>
      <c r="J53" s="141">
        <v>0</v>
      </c>
      <c r="K53" s="141">
        <v>0</v>
      </c>
      <c r="L53" s="24">
        <v>487672.1</v>
      </c>
    </row>
    <row r="54" spans="1:12" s="2" customFormat="1" ht="23.25" customHeight="1">
      <c r="A54" s="177" t="s">
        <v>46</v>
      </c>
      <c r="B54" s="179" t="s">
        <v>29</v>
      </c>
      <c r="C54" s="46" t="s">
        <v>0</v>
      </c>
      <c r="D54" s="45">
        <f>E54+F54+G54+H54+J54+K54+L54</f>
        <v>96971</v>
      </c>
      <c r="E54" s="45">
        <v>0</v>
      </c>
      <c r="F54" s="45">
        <f>F57</f>
        <v>54725</v>
      </c>
      <c r="G54" s="64">
        <f>G57+G58+G59+G60+G61+G62+G63</f>
        <v>42246</v>
      </c>
      <c r="H54" s="64">
        <v>0</v>
      </c>
      <c r="I54" s="45"/>
      <c r="J54" s="64">
        <v>0</v>
      </c>
      <c r="K54" s="64">
        <v>0</v>
      </c>
      <c r="L54" s="45">
        <v>0</v>
      </c>
    </row>
    <row r="55" spans="1:12" s="2" customFormat="1" ht="15.75" customHeight="1">
      <c r="A55" s="178"/>
      <c r="B55" s="180"/>
      <c r="C55" s="46" t="s">
        <v>124</v>
      </c>
      <c r="D55" s="45"/>
      <c r="E55" s="45"/>
      <c r="F55" s="24"/>
      <c r="G55" s="64"/>
      <c r="H55" s="64"/>
      <c r="I55" s="24"/>
      <c r="J55" s="64"/>
      <c r="K55" s="64"/>
      <c r="L55" s="70"/>
    </row>
    <row r="56" spans="1:12" s="2" customFormat="1" ht="24.75" hidden="1" customHeight="1" thickBot="1">
      <c r="A56" s="178"/>
      <c r="B56" s="180"/>
      <c r="C56" s="46"/>
      <c r="D56" s="45">
        <f t="shared" ref="D56:D63" si="28">E56+F56+G56+H56+J56+K56+L56</f>
        <v>0</v>
      </c>
      <c r="E56" s="45">
        <v>0</v>
      </c>
      <c r="F56" s="24">
        <v>0</v>
      </c>
      <c r="G56" s="64">
        <v>0</v>
      </c>
      <c r="H56" s="64">
        <v>0</v>
      </c>
      <c r="I56" s="24"/>
      <c r="J56" s="64">
        <v>0</v>
      </c>
      <c r="K56" s="64">
        <v>0</v>
      </c>
      <c r="L56" s="70">
        <v>0</v>
      </c>
    </row>
    <row r="57" spans="1:12" s="2" customFormat="1" ht="17.25" customHeight="1">
      <c r="A57" s="178"/>
      <c r="B57" s="180"/>
      <c r="C57" s="140" t="s">
        <v>23</v>
      </c>
      <c r="D57" s="141">
        <f t="shared" si="28"/>
        <v>54725</v>
      </c>
      <c r="E57" s="141"/>
      <c r="F57" s="24">
        <v>54725</v>
      </c>
      <c r="G57" s="141">
        <v>0</v>
      </c>
      <c r="H57" s="141">
        <v>0</v>
      </c>
      <c r="I57" s="24"/>
      <c r="J57" s="141">
        <v>0</v>
      </c>
      <c r="K57" s="141">
        <v>0</v>
      </c>
      <c r="L57" s="24">
        <v>0</v>
      </c>
    </row>
    <row r="58" spans="1:12" s="2" customFormat="1" ht="17.25" customHeight="1">
      <c r="A58" s="178"/>
      <c r="B58" s="180"/>
      <c r="C58" s="140" t="s">
        <v>51</v>
      </c>
      <c r="D58" s="141">
        <f t="shared" si="28"/>
        <v>6031</v>
      </c>
      <c r="E58" s="141"/>
      <c r="F58" s="24"/>
      <c r="G58" s="141">
        <v>6031</v>
      </c>
      <c r="H58" s="141">
        <v>0</v>
      </c>
      <c r="I58" s="24"/>
      <c r="J58" s="141">
        <v>0</v>
      </c>
      <c r="K58" s="141">
        <v>0</v>
      </c>
      <c r="L58" s="24">
        <v>0</v>
      </c>
    </row>
    <row r="59" spans="1:12" s="2" customFormat="1" ht="17.25" customHeight="1">
      <c r="A59" s="178"/>
      <c r="B59" s="180"/>
      <c r="C59" s="140" t="s">
        <v>52</v>
      </c>
      <c r="D59" s="141">
        <f t="shared" si="28"/>
        <v>11924</v>
      </c>
      <c r="E59" s="141"/>
      <c r="F59" s="24"/>
      <c r="G59" s="141">
        <v>11924</v>
      </c>
      <c r="H59" s="141">
        <v>0</v>
      </c>
      <c r="I59" s="24"/>
      <c r="J59" s="141">
        <v>0</v>
      </c>
      <c r="K59" s="141">
        <v>0</v>
      </c>
      <c r="L59" s="24">
        <v>0</v>
      </c>
    </row>
    <row r="60" spans="1:12" s="2" customFormat="1" ht="17.25" customHeight="1">
      <c r="A60" s="178"/>
      <c r="B60" s="180"/>
      <c r="C60" s="140" t="s">
        <v>53</v>
      </c>
      <c r="D60" s="141">
        <f t="shared" si="28"/>
        <v>7364</v>
      </c>
      <c r="E60" s="141"/>
      <c r="F60" s="24"/>
      <c r="G60" s="141">
        <v>7364</v>
      </c>
      <c r="H60" s="141">
        <v>0</v>
      </c>
      <c r="I60" s="24"/>
      <c r="J60" s="141">
        <v>0</v>
      </c>
      <c r="K60" s="141">
        <v>0</v>
      </c>
      <c r="L60" s="24">
        <v>0</v>
      </c>
    </row>
    <row r="61" spans="1:12" s="2" customFormat="1" ht="17.25" customHeight="1">
      <c r="A61" s="178"/>
      <c r="B61" s="180"/>
      <c r="C61" s="140" t="s">
        <v>56</v>
      </c>
      <c r="D61" s="141">
        <f t="shared" si="28"/>
        <v>4864</v>
      </c>
      <c r="E61" s="141"/>
      <c r="F61" s="24"/>
      <c r="G61" s="141">
        <v>4864</v>
      </c>
      <c r="H61" s="141">
        <v>0</v>
      </c>
      <c r="I61" s="24"/>
      <c r="J61" s="141">
        <v>0</v>
      </c>
      <c r="K61" s="141">
        <v>0</v>
      </c>
      <c r="L61" s="24">
        <v>0</v>
      </c>
    </row>
    <row r="62" spans="1:12" s="2" customFormat="1" ht="17.25" customHeight="1">
      <c r="A62" s="178"/>
      <c r="B62" s="180"/>
      <c r="C62" s="140" t="s">
        <v>54</v>
      </c>
      <c r="D62" s="141">
        <f t="shared" si="28"/>
        <v>1580</v>
      </c>
      <c r="E62" s="141"/>
      <c r="F62" s="24"/>
      <c r="G62" s="141">
        <v>1580</v>
      </c>
      <c r="H62" s="141">
        <v>0</v>
      </c>
      <c r="I62" s="24"/>
      <c r="J62" s="141">
        <v>0</v>
      </c>
      <c r="K62" s="141">
        <v>0</v>
      </c>
      <c r="L62" s="24">
        <v>0</v>
      </c>
    </row>
    <row r="63" spans="1:12" s="2" customFormat="1" ht="18.75" customHeight="1">
      <c r="A63" s="178"/>
      <c r="B63" s="180"/>
      <c r="C63" s="145" t="s">
        <v>55</v>
      </c>
      <c r="D63" s="146">
        <f t="shared" si="28"/>
        <v>10483</v>
      </c>
      <c r="E63" s="146"/>
      <c r="F63" s="147"/>
      <c r="G63" s="146">
        <v>10483</v>
      </c>
      <c r="H63" s="146">
        <v>0</v>
      </c>
      <c r="I63" s="147"/>
      <c r="J63" s="146">
        <v>0</v>
      </c>
      <c r="K63" s="146">
        <v>0</v>
      </c>
      <c r="L63" s="147">
        <v>0</v>
      </c>
    </row>
    <row r="64" spans="1:12" s="2" customFormat="1" ht="21.75" customHeight="1">
      <c r="A64" s="181" t="s">
        <v>47</v>
      </c>
      <c r="B64" s="182" t="s">
        <v>95</v>
      </c>
      <c r="C64" s="140" t="s">
        <v>0</v>
      </c>
      <c r="D64" s="141">
        <f t="shared" ref="D64:L64" si="29">D66+D67+D68+D69+D70+D71+D72</f>
        <v>206082.15</v>
      </c>
      <c r="E64" s="141">
        <f t="shared" si="29"/>
        <v>47508.76</v>
      </c>
      <c r="F64" s="24">
        <f t="shared" si="29"/>
        <v>31781.8</v>
      </c>
      <c r="G64" s="141">
        <f t="shared" si="29"/>
        <v>31345</v>
      </c>
      <c r="H64" s="141">
        <f t="shared" si="29"/>
        <v>31345</v>
      </c>
      <c r="I64" s="24">
        <f t="shared" si="29"/>
        <v>0</v>
      </c>
      <c r="J64" s="141">
        <f t="shared" si="29"/>
        <v>31345</v>
      </c>
      <c r="K64" s="141">
        <f t="shared" si="29"/>
        <v>31345</v>
      </c>
      <c r="L64" s="24">
        <f t="shared" si="29"/>
        <v>1411.59</v>
      </c>
    </row>
    <row r="65" spans="1:12" s="2" customFormat="1" ht="17.25" customHeight="1">
      <c r="A65" s="181"/>
      <c r="B65" s="182"/>
      <c r="C65" s="140" t="s">
        <v>124</v>
      </c>
      <c r="D65" s="141"/>
      <c r="E65" s="141"/>
      <c r="F65" s="24"/>
      <c r="G65" s="141"/>
      <c r="H65" s="141"/>
      <c r="I65" s="24"/>
      <c r="J65" s="141"/>
      <c r="K65" s="141"/>
      <c r="L65" s="24"/>
    </row>
    <row r="66" spans="1:12" s="2" customFormat="1" ht="17.25" customHeight="1">
      <c r="A66" s="181"/>
      <c r="B66" s="182"/>
      <c r="C66" s="140" t="s">
        <v>23</v>
      </c>
      <c r="D66" s="141">
        <f>E66+F66+G66+H66+J66+K66+L66</f>
        <v>193495.15</v>
      </c>
      <c r="E66" s="141">
        <v>34921.760000000002</v>
      </c>
      <c r="F66" s="24">
        <v>31781.8</v>
      </c>
      <c r="G66" s="141">
        <v>31345</v>
      </c>
      <c r="H66" s="141">
        <v>31345</v>
      </c>
      <c r="I66" s="24"/>
      <c r="J66" s="141">
        <v>31345</v>
      </c>
      <c r="K66" s="141">
        <v>31345</v>
      </c>
      <c r="L66" s="24">
        <v>1411.59</v>
      </c>
    </row>
    <row r="67" spans="1:12" s="2" customFormat="1" ht="17.25" customHeight="1">
      <c r="A67" s="181"/>
      <c r="B67" s="182"/>
      <c r="C67" s="140" t="s">
        <v>51</v>
      </c>
      <c r="D67" s="141">
        <f t="shared" ref="D67:D72" si="30">E67+F67+G67+H67+J67+K67+L67</f>
        <v>2504.0500000000002</v>
      </c>
      <c r="E67" s="141">
        <v>2504.0500000000002</v>
      </c>
      <c r="F67" s="24">
        <v>0</v>
      </c>
      <c r="G67" s="141">
        <v>0</v>
      </c>
      <c r="H67" s="141">
        <v>0</v>
      </c>
      <c r="I67" s="24"/>
      <c r="J67" s="141">
        <v>0</v>
      </c>
      <c r="K67" s="141">
        <v>0</v>
      </c>
      <c r="L67" s="24">
        <v>0</v>
      </c>
    </row>
    <row r="68" spans="1:12" s="2" customFormat="1" ht="17.25" customHeight="1">
      <c r="A68" s="181"/>
      <c r="B68" s="182"/>
      <c r="C68" s="140" t="s">
        <v>52</v>
      </c>
      <c r="D68" s="141">
        <f t="shared" si="30"/>
        <v>2413.88</v>
      </c>
      <c r="E68" s="141">
        <v>2413.88</v>
      </c>
      <c r="F68" s="24">
        <v>0</v>
      </c>
      <c r="G68" s="141">
        <v>0</v>
      </c>
      <c r="H68" s="141">
        <v>0</v>
      </c>
      <c r="I68" s="24"/>
      <c r="J68" s="141">
        <v>0</v>
      </c>
      <c r="K68" s="141">
        <v>0</v>
      </c>
      <c r="L68" s="24">
        <v>0</v>
      </c>
    </row>
    <row r="69" spans="1:12" s="2" customFormat="1" ht="17.25" customHeight="1">
      <c r="A69" s="181"/>
      <c r="B69" s="182"/>
      <c r="C69" s="140" t="s">
        <v>53</v>
      </c>
      <c r="D69" s="141">
        <f t="shared" si="30"/>
        <v>1658</v>
      </c>
      <c r="E69" s="141">
        <v>1658</v>
      </c>
      <c r="F69" s="24">
        <v>0</v>
      </c>
      <c r="G69" s="141">
        <v>0</v>
      </c>
      <c r="H69" s="141">
        <v>0</v>
      </c>
      <c r="I69" s="24"/>
      <c r="J69" s="141">
        <v>0</v>
      </c>
      <c r="K69" s="141">
        <v>0</v>
      </c>
      <c r="L69" s="24">
        <v>0</v>
      </c>
    </row>
    <row r="70" spans="1:12" s="2" customFormat="1" ht="17.25" customHeight="1">
      <c r="A70" s="181"/>
      <c r="B70" s="182"/>
      <c r="C70" s="140" t="s">
        <v>56</v>
      </c>
      <c r="D70" s="141">
        <f t="shared" si="30"/>
        <v>2127</v>
      </c>
      <c r="E70" s="141">
        <v>2127</v>
      </c>
      <c r="F70" s="24">
        <v>0</v>
      </c>
      <c r="G70" s="141">
        <v>0</v>
      </c>
      <c r="H70" s="141">
        <v>0</v>
      </c>
      <c r="I70" s="24"/>
      <c r="J70" s="141">
        <v>0</v>
      </c>
      <c r="K70" s="141">
        <v>0</v>
      </c>
      <c r="L70" s="24">
        <v>0</v>
      </c>
    </row>
    <row r="71" spans="1:12" s="2" customFormat="1" ht="17.25" customHeight="1">
      <c r="A71" s="181"/>
      <c r="B71" s="182"/>
      <c r="C71" s="140" t="s">
        <v>54</v>
      </c>
      <c r="D71" s="141">
        <f t="shared" si="30"/>
        <v>1642</v>
      </c>
      <c r="E71" s="141">
        <v>1642</v>
      </c>
      <c r="F71" s="24">
        <v>0</v>
      </c>
      <c r="G71" s="141">
        <v>0</v>
      </c>
      <c r="H71" s="141">
        <v>0</v>
      </c>
      <c r="I71" s="24"/>
      <c r="J71" s="141">
        <v>0</v>
      </c>
      <c r="K71" s="141">
        <v>0</v>
      </c>
      <c r="L71" s="24">
        <v>0</v>
      </c>
    </row>
    <row r="72" spans="1:12" s="2" customFormat="1" ht="17.25" customHeight="1">
      <c r="A72" s="181"/>
      <c r="B72" s="182"/>
      <c r="C72" s="140" t="s">
        <v>55</v>
      </c>
      <c r="D72" s="141">
        <f t="shared" si="30"/>
        <v>2242.0700000000002</v>
      </c>
      <c r="E72" s="141">
        <v>2242.0700000000002</v>
      </c>
      <c r="F72" s="24">
        <v>0</v>
      </c>
      <c r="G72" s="141">
        <v>0</v>
      </c>
      <c r="H72" s="141">
        <v>0</v>
      </c>
      <c r="I72" s="24"/>
      <c r="J72" s="141">
        <v>0</v>
      </c>
      <c r="K72" s="141">
        <v>0</v>
      </c>
      <c r="L72" s="24">
        <v>0</v>
      </c>
    </row>
    <row r="73" spans="1:12" s="2" customFormat="1" ht="29.25" customHeight="1">
      <c r="A73" s="189" t="s">
        <v>62</v>
      </c>
      <c r="B73" s="182" t="s">
        <v>61</v>
      </c>
      <c r="C73" s="140" t="s">
        <v>0</v>
      </c>
      <c r="D73" s="141">
        <f>D75</f>
        <v>1643</v>
      </c>
      <c r="E73" s="141">
        <f t="shared" ref="E73:L73" si="31">E75</f>
        <v>1643</v>
      </c>
      <c r="F73" s="141">
        <f t="shared" si="31"/>
        <v>0</v>
      </c>
      <c r="G73" s="141">
        <f t="shared" si="31"/>
        <v>0</v>
      </c>
      <c r="H73" s="141">
        <f t="shared" si="31"/>
        <v>0</v>
      </c>
      <c r="I73" s="141">
        <f t="shared" si="31"/>
        <v>0</v>
      </c>
      <c r="J73" s="141">
        <f t="shared" si="31"/>
        <v>0</v>
      </c>
      <c r="K73" s="141">
        <f t="shared" si="31"/>
        <v>0</v>
      </c>
      <c r="L73" s="141">
        <f t="shared" si="31"/>
        <v>0</v>
      </c>
    </row>
    <row r="74" spans="1:12" s="2" customFormat="1" ht="17.25" customHeight="1">
      <c r="A74" s="189"/>
      <c r="B74" s="182"/>
      <c r="C74" s="140" t="s">
        <v>124</v>
      </c>
      <c r="D74" s="141"/>
      <c r="E74" s="141"/>
      <c r="F74" s="24"/>
      <c r="G74" s="141"/>
      <c r="H74" s="141"/>
      <c r="I74" s="24"/>
      <c r="J74" s="141"/>
      <c r="K74" s="141"/>
      <c r="L74" s="24"/>
    </row>
    <row r="75" spans="1:12" s="2" customFormat="1" ht="21.75" customHeight="1">
      <c r="A75" s="189"/>
      <c r="B75" s="182"/>
      <c r="C75" s="140" t="s">
        <v>60</v>
      </c>
      <c r="D75" s="141">
        <f>E75</f>
        <v>1643</v>
      </c>
      <c r="E75" s="141">
        <v>1643</v>
      </c>
      <c r="F75" s="24">
        <v>0</v>
      </c>
      <c r="G75" s="141">
        <v>0</v>
      </c>
      <c r="H75" s="141">
        <v>0</v>
      </c>
      <c r="I75" s="24"/>
      <c r="J75" s="141">
        <v>0</v>
      </c>
      <c r="K75" s="141">
        <v>0</v>
      </c>
      <c r="L75" s="24">
        <v>0</v>
      </c>
    </row>
    <row r="76" spans="1:12" s="2" customFormat="1" ht="30.75" customHeight="1">
      <c r="A76" s="189" t="s">
        <v>112</v>
      </c>
      <c r="B76" s="206" t="s">
        <v>150</v>
      </c>
      <c r="C76" s="65" t="s">
        <v>0</v>
      </c>
      <c r="D76" s="64">
        <f>D79</f>
        <v>39213</v>
      </c>
      <c r="E76" s="64">
        <v>0</v>
      </c>
      <c r="F76" s="64">
        <v>0</v>
      </c>
      <c r="G76" s="64">
        <f>G79</f>
        <v>0</v>
      </c>
      <c r="H76" s="64">
        <f>H79</f>
        <v>31950</v>
      </c>
      <c r="I76" s="64"/>
      <c r="J76" s="64">
        <f>J79</f>
        <v>7263</v>
      </c>
      <c r="K76" s="64">
        <v>0</v>
      </c>
      <c r="L76" s="64">
        <v>0</v>
      </c>
    </row>
    <row r="77" spans="1:12" s="2" customFormat="1" ht="22.5" customHeight="1">
      <c r="A77" s="189"/>
      <c r="B77" s="206"/>
      <c r="C77" s="65" t="s">
        <v>124</v>
      </c>
      <c r="D77" s="64"/>
      <c r="E77" s="64"/>
      <c r="F77" s="24"/>
      <c r="G77" s="64"/>
      <c r="H77" s="64"/>
      <c r="I77" s="24"/>
      <c r="J77" s="64"/>
      <c r="K77" s="64"/>
      <c r="L77" s="24"/>
    </row>
    <row r="78" spans="1:12" s="2" customFormat="1" ht="24.75" hidden="1" customHeight="1">
      <c r="A78" s="189"/>
      <c r="B78" s="206"/>
      <c r="C78" s="65"/>
      <c r="D78" s="64">
        <v>0</v>
      </c>
      <c r="E78" s="64">
        <v>0</v>
      </c>
      <c r="F78" s="24"/>
      <c r="G78" s="64">
        <v>0</v>
      </c>
      <c r="H78" s="64">
        <v>0</v>
      </c>
      <c r="I78" s="24"/>
      <c r="J78" s="64">
        <v>0</v>
      </c>
      <c r="K78" s="64">
        <v>0</v>
      </c>
      <c r="L78" s="24">
        <v>0</v>
      </c>
    </row>
    <row r="79" spans="1:12" s="2" customFormat="1" ht="116.25" customHeight="1">
      <c r="A79" s="189"/>
      <c r="B79" s="206"/>
      <c r="C79" s="65" t="s">
        <v>23</v>
      </c>
      <c r="D79" s="64">
        <f>E79+F79+G79+H79+J79+K79+L79</f>
        <v>39213</v>
      </c>
      <c r="E79" s="64">
        <v>0</v>
      </c>
      <c r="F79" s="64">
        <f t="shared" ref="F79" si="32">I79</f>
        <v>0</v>
      </c>
      <c r="G79" s="64">
        <v>0</v>
      </c>
      <c r="H79" s="64">
        <v>31950</v>
      </c>
      <c r="I79" s="24"/>
      <c r="J79" s="64">
        <v>7263</v>
      </c>
      <c r="K79" s="64">
        <v>0</v>
      </c>
      <c r="L79" s="64">
        <v>0</v>
      </c>
    </row>
    <row r="80" spans="1:12" s="2" customFormat="1" ht="24.75" customHeight="1">
      <c r="A80" s="189" t="s">
        <v>7</v>
      </c>
      <c r="B80" s="189" t="s">
        <v>127</v>
      </c>
      <c r="C80" s="46" t="s">
        <v>0</v>
      </c>
      <c r="D80" s="45">
        <f>D82</f>
        <v>623834.23800000001</v>
      </c>
      <c r="E80" s="45">
        <f>E82</f>
        <v>79186.237999999998</v>
      </c>
      <c r="F80" s="24">
        <f t="shared" ref="F80:L80" si="33">F82</f>
        <v>146986</v>
      </c>
      <c r="G80" s="64">
        <f t="shared" si="33"/>
        <v>954</v>
      </c>
      <c r="H80" s="64">
        <f t="shared" si="33"/>
        <v>55000</v>
      </c>
      <c r="I80" s="24">
        <f t="shared" si="33"/>
        <v>0</v>
      </c>
      <c r="J80" s="64">
        <f t="shared" si="33"/>
        <v>0</v>
      </c>
      <c r="K80" s="64">
        <f t="shared" si="33"/>
        <v>0</v>
      </c>
      <c r="L80" s="24">
        <f t="shared" si="33"/>
        <v>341708</v>
      </c>
    </row>
    <row r="81" spans="1:12" s="2" customFormat="1" ht="14.25" customHeight="1">
      <c r="A81" s="189"/>
      <c r="B81" s="189"/>
      <c r="C81" s="46" t="s">
        <v>124</v>
      </c>
      <c r="D81" s="45"/>
      <c r="E81" s="45"/>
      <c r="F81" s="24"/>
      <c r="G81" s="64"/>
      <c r="H81" s="64"/>
      <c r="I81" s="26"/>
      <c r="J81" s="64"/>
      <c r="K81" s="64"/>
      <c r="L81" s="25"/>
    </row>
    <row r="82" spans="1:12" s="2" customFormat="1" ht="25.5" customHeight="1">
      <c r="A82" s="189"/>
      <c r="B82" s="189"/>
      <c r="C82" s="46" t="s">
        <v>24</v>
      </c>
      <c r="D82" s="45">
        <f t="shared" ref="D82:L82" si="34">D85+D88+D92</f>
        <v>623834.23800000001</v>
      </c>
      <c r="E82" s="45">
        <f t="shared" si="34"/>
        <v>79186.237999999998</v>
      </c>
      <c r="F82" s="45">
        <f t="shared" si="34"/>
        <v>146986</v>
      </c>
      <c r="G82" s="64">
        <f t="shared" si="34"/>
        <v>954</v>
      </c>
      <c r="H82" s="64">
        <f t="shared" si="34"/>
        <v>55000</v>
      </c>
      <c r="I82" s="45">
        <f t="shared" si="34"/>
        <v>0</v>
      </c>
      <c r="J82" s="64">
        <f t="shared" si="34"/>
        <v>0</v>
      </c>
      <c r="K82" s="64">
        <f t="shared" si="34"/>
        <v>0</v>
      </c>
      <c r="L82" s="45">
        <f t="shared" si="34"/>
        <v>341708</v>
      </c>
    </row>
    <row r="83" spans="1:12" s="2" customFormat="1" ht="24" customHeight="1">
      <c r="A83" s="189" t="s">
        <v>48</v>
      </c>
      <c r="B83" s="190" t="s">
        <v>38</v>
      </c>
      <c r="C83" s="46" t="s">
        <v>0</v>
      </c>
      <c r="D83" s="45">
        <f>D85</f>
        <v>622877</v>
      </c>
      <c r="E83" s="45">
        <f t="shared" ref="E83:L83" si="35">E85</f>
        <v>78742</v>
      </c>
      <c r="F83" s="45">
        <f t="shared" si="35"/>
        <v>146986</v>
      </c>
      <c r="G83" s="64">
        <f t="shared" si="35"/>
        <v>954</v>
      </c>
      <c r="H83" s="64">
        <f t="shared" si="35"/>
        <v>55000</v>
      </c>
      <c r="I83" s="45">
        <f t="shared" si="35"/>
        <v>0</v>
      </c>
      <c r="J83" s="64">
        <f t="shared" si="35"/>
        <v>0</v>
      </c>
      <c r="K83" s="64">
        <f t="shared" si="35"/>
        <v>0</v>
      </c>
      <c r="L83" s="45">
        <f t="shared" si="35"/>
        <v>341195</v>
      </c>
    </row>
    <row r="84" spans="1:12" s="2" customFormat="1" ht="15.75" customHeight="1">
      <c r="A84" s="189"/>
      <c r="B84" s="190"/>
      <c r="C84" s="46" t="s">
        <v>124</v>
      </c>
      <c r="D84" s="45"/>
      <c r="E84" s="45"/>
      <c r="F84" s="45"/>
      <c r="G84" s="64"/>
      <c r="H84" s="64"/>
      <c r="I84" s="45"/>
      <c r="J84" s="64"/>
      <c r="K84" s="64"/>
      <c r="L84" s="45"/>
    </row>
    <row r="85" spans="1:12" s="2" customFormat="1" ht="26.25" customHeight="1">
      <c r="A85" s="189"/>
      <c r="B85" s="190"/>
      <c r="C85" s="46" t="s">
        <v>24</v>
      </c>
      <c r="D85" s="45">
        <f>E85+F85+G85+H85+J85+K85+L85</f>
        <v>622877</v>
      </c>
      <c r="E85" s="45">
        <f>78742</f>
        <v>78742</v>
      </c>
      <c r="F85" s="45">
        <v>146986</v>
      </c>
      <c r="G85" s="64">
        <v>954</v>
      </c>
      <c r="H85" s="64">
        <v>55000</v>
      </c>
      <c r="I85" s="45"/>
      <c r="J85" s="64">
        <v>0</v>
      </c>
      <c r="K85" s="64">
        <v>0</v>
      </c>
      <c r="L85" s="45">
        <v>341195</v>
      </c>
    </row>
    <row r="86" spans="1:12" s="2" customFormat="1" ht="23.25" customHeight="1">
      <c r="A86" s="189" t="s">
        <v>49</v>
      </c>
      <c r="B86" s="205" t="s">
        <v>39</v>
      </c>
      <c r="C86" s="46" t="s">
        <v>0</v>
      </c>
      <c r="D86" s="45">
        <f>D88</f>
        <v>513</v>
      </c>
      <c r="E86" s="45">
        <f t="shared" ref="E86:L86" si="36">E88</f>
        <v>0</v>
      </c>
      <c r="F86" s="45">
        <f t="shared" si="36"/>
        <v>0</v>
      </c>
      <c r="G86" s="64">
        <f t="shared" si="36"/>
        <v>0</v>
      </c>
      <c r="H86" s="64">
        <f t="shared" si="36"/>
        <v>0</v>
      </c>
      <c r="I86" s="45">
        <f t="shared" si="36"/>
        <v>0</v>
      </c>
      <c r="J86" s="64">
        <v>0</v>
      </c>
      <c r="K86" s="64">
        <v>0</v>
      </c>
      <c r="L86" s="45">
        <f t="shared" si="36"/>
        <v>513</v>
      </c>
    </row>
    <row r="87" spans="1:12" s="2" customFormat="1" ht="23.25" customHeight="1">
      <c r="A87" s="189"/>
      <c r="B87" s="205"/>
      <c r="C87" s="46" t="s">
        <v>124</v>
      </c>
      <c r="D87" s="45"/>
      <c r="E87" s="45"/>
      <c r="F87" s="45"/>
      <c r="G87" s="64"/>
      <c r="H87" s="64"/>
      <c r="I87" s="45"/>
      <c r="J87" s="64"/>
      <c r="K87" s="64"/>
      <c r="L87" s="45"/>
    </row>
    <row r="88" spans="1:12" s="2" customFormat="1" ht="58.5" customHeight="1">
      <c r="A88" s="189"/>
      <c r="B88" s="205"/>
      <c r="C88" s="46" t="s">
        <v>24</v>
      </c>
      <c r="D88" s="45">
        <f>E88+F88+G88+H88+J88+K88+L88</f>
        <v>513</v>
      </c>
      <c r="E88" s="45">
        <v>0</v>
      </c>
      <c r="F88" s="24">
        <v>0</v>
      </c>
      <c r="G88" s="64">
        <v>0</v>
      </c>
      <c r="H88" s="64"/>
      <c r="I88" s="26"/>
      <c r="J88" s="64">
        <v>0</v>
      </c>
      <c r="K88" s="64">
        <v>0</v>
      </c>
      <c r="L88" s="25">
        <v>513</v>
      </c>
    </row>
    <row r="89" spans="1:12" s="2" customFormat="1" ht="18.75" customHeight="1">
      <c r="A89" s="193" t="s">
        <v>50</v>
      </c>
      <c r="B89" s="207" t="s">
        <v>96</v>
      </c>
      <c r="C89" s="204" t="s">
        <v>0</v>
      </c>
      <c r="D89" s="191">
        <f>D92</f>
        <v>444.238</v>
      </c>
      <c r="E89" s="191">
        <f t="shared" ref="E89:L89" si="37">E92</f>
        <v>444.238</v>
      </c>
      <c r="F89" s="191">
        <f t="shared" si="37"/>
        <v>0</v>
      </c>
      <c r="G89" s="191">
        <f t="shared" si="37"/>
        <v>0</v>
      </c>
      <c r="H89" s="191">
        <f t="shared" si="37"/>
        <v>0</v>
      </c>
      <c r="I89" s="191">
        <f t="shared" si="37"/>
        <v>0</v>
      </c>
      <c r="J89" s="191">
        <f t="shared" si="37"/>
        <v>0</v>
      </c>
      <c r="K89" s="191">
        <f t="shared" si="37"/>
        <v>0</v>
      </c>
      <c r="L89" s="191">
        <f t="shared" si="37"/>
        <v>0</v>
      </c>
    </row>
    <row r="90" spans="1:12" s="2" customFormat="1" ht="6.75" customHeight="1">
      <c r="A90" s="194"/>
      <c r="B90" s="208"/>
      <c r="C90" s="204"/>
      <c r="D90" s="191"/>
      <c r="E90" s="191"/>
      <c r="F90" s="191"/>
      <c r="G90" s="191"/>
      <c r="H90" s="191"/>
      <c r="I90" s="191"/>
      <c r="J90" s="191"/>
      <c r="K90" s="191"/>
      <c r="L90" s="191"/>
    </row>
    <row r="91" spans="1:12" s="2" customFormat="1">
      <c r="A91" s="194"/>
      <c r="B91" s="208"/>
      <c r="C91" s="46" t="s">
        <v>124</v>
      </c>
      <c r="D91" s="45"/>
      <c r="E91" s="45"/>
      <c r="F91" s="45"/>
      <c r="G91" s="64"/>
      <c r="H91" s="64"/>
      <c r="I91" s="45"/>
      <c r="J91" s="64"/>
      <c r="K91" s="64"/>
      <c r="L91" s="45"/>
    </row>
    <row r="92" spans="1:12" s="2" customFormat="1" ht="32.25" customHeight="1">
      <c r="A92" s="195"/>
      <c r="B92" s="209"/>
      <c r="C92" s="46" t="s">
        <v>24</v>
      </c>
      <c r="D92" s="45">
        <f>E92+F92+G92+H92+J92+K92+L92</f>
        <v>444.238</v>
      </c>
      <c r="E92" s="45">
        <v>444.238</v>
      </c>
      <c r="F92" s="45">
        <v>0</v>
      </c>
      <c r="G92" s="64">
        <v>0</v>
      </c>
      <c r="H92" s="64">
        <v>0</v>
      </c>
      <c r="I92" s="45"/>
      <c r="J92" s="64">
        <v>0</v>
      </c>
      <c r="K92" s="64">
        <v>0</v>
      </c>
      <c r="L92" s="45">
        <v>0</v>
      </c>
    </row>
    <row r="93" spans="1:12" s="2" customFormat="1" ht="27.75" customHeight="1">
      <c r="A93" s="189" t="s">
        <v>14</v>
      </c>
      <c r="B93" s="189" t="s">
        <v>128</v>
      </c>
      <c r="C93" s="140" t="s">
        <v>0</v>
      </c>
      <c r="D93" s="141">
        <f>D96+D97+D98+D99+D100+D101+D95</f>
        <v>164806.25</v>
      </c>
      <c r="E93" s="141">
        <f>E96+E97+E98+E99+E100+E101+E95</f>
        <v>26613.730000000003</v>
      </c>
      <c r="F93" s="141">
        <f t="shared" ref="F93:L93" si="38">F96+F97+F98+F99+F100+F101</f>
        <v>21095.200000000001</v>
      </c>
      <c r="G93" s="141">
        <f t="shared" si="38"/>
        <v>110922.1</v>
      </c>
      <c r="H93" s="141">
        <f t="shared" si="38"/>
        <v>60</v>
      </c>
      <c r="I93" s="141">
        <f t="shared" si="38"/>
        <v>0</v>
      </c>
      <c r="J93" s="141">
        <f t="shared" si="38"/>
        <v>0</v>
      </c>
      <c r="K93" s="141">
        <f t="shared" si="38"/>
        <v>0</v>
      </c>
      <c r="L93" s="141">
        <f t="shared" si="38"/>
        <v>6115.22</v>
      </c>
    </row>
    <row r="94" spans="1:12" s="2" customFormat="1">
      <c r="A94" s="189"/>
      <c r="B94" s="189"/>
      <c r="C94" s="140" t="s">
        <v>124</v>
      </c>
      <c r="D94" s="141"/>
      <c r="E94" s="141"/>
      <c r="F94" s="25"/>
      <c r="G94" s="141"/>
      <c r="H94" s="141"/>
      <c r="I94" s="26"/>
      <c r="J94" s="141"/>
      <c r="K94" s="141"/>
      <c r="L94" s="25"/>
    </row>
    <row r="95" spans="1:12" s="2" customFormat="1" ht="17.25" customHeight="1">
      <c r="A95" s="189"/>
      <c r="B95" s="189"/>
      <c r="C95" s="140" t="s">
        <v>23</v>
      </c>
      <c r="D95" s="141">
        <f>E95</f>
        <v>6102</v>
      </c>
      <c r="E95" s="141">
        <v>6102</v>
      </c>
      <c r="F95" s="24">
        <v>0</v>
      </c>
      <c r="G95" s="141">
        <v>0</v>
      </c>
      <c r="H95" s="141">
        <v>0</v>
      </c>
      <c r="I95" s="24"/>
      <c r="J95" s="141">
        <v>0</v>
      </c>
      <c r="K95" s="141">
        <v>0</v>
      </c>
      <c r="L95" s="24">
        <v>0</v>
      </c>
    </row>
    <row r="96" spans="1:12" s="2" customFormat="1" ht="17.25" customHeight="1">
      <c r="A96" s="189"/>
      <c r="B96" s="189"/>
      <c r="C96" s="140" t="s">
        <v>51</v>
      </c>
      <c r="D96" s="141">
        <f>E96+F96+G96+H96+J96+K96+L96</f>
        <v>22102.210000000003</v>
      </c>
      <c r="E96" s="141">
        <f>563.49+1107</f>
        <v>1670.49</v>
      </c>
      <c r="F96" s="24">
        <v>500</v>
      </c>
      <c r="G96" s="141">
        <v>19094.2</v>
      </c>
      <c r="H96" s="141">
        <v>0</v>
      </c>
      <c r="I96" s="24"/>
      <c r="J96" s="141">
        <v>0</v>
      </c>
      <c r="K96" s="141">
        <v>0</v>
      </c>
      <c r="L96" s="24">
        <v>837.52</v>
      </c>
    </row>
    <row r="97" spans="1:12" s="2" customFormat="1" ht="17.25" customHeight="1">
      <c r="A97" s="189"/>
      <c r="B97" s="189"/>
      <c r="C97" s="140" t="s">
        <v>52</v>
      </c>
      <c r="D97" s="141">
        <f t="shared" ref="D97:D101" si="39">E97+F97+G97+H97+J97+K97+L97</f>
        <v>36029.230000000003</v>
      </c>
      <c r="E97" s="141">
        <f>855.28+8658</f>
        <v>9513.2800000000007</v>
      </c>
      <c r="F97" s="24">
        <v>3325</v>
      </c>
      <c r="G97" s="141">
        <v>21935.7</v>
      </c>
      <c r="H97" s="141">
        <v>60</v>
      </c>
      <c r="I97" s="24"/>
      <c r="J97" s="141">
        <v>0</v>
      </c>
      <c r="K97" s="141">
        <v>0</v>
      </c>
      <c r="L97" s="24">
        <v>1195.25</v>
      </c>
    </row>
    <row r="98" spans="1:12" s="2" customFormat="1" ht="17.25" customHeight="1">
      <c r="A98" s="189"/>
      <c r="B98" s="189"/>
      <c r="C98" s="140" t="s">
        <v>53</v>
      </c>
      <c r="D98" s="141">
        <f t="shared" si="39"/>
        <v>24916.95</v>
      </c>
      <c r="E98" s="141">
        <f>440.72+2874</f>
        <v>3314.7200000000003</v>
      </c>
      <c r="F98" s="24">
        <v>1473</v>
      </c>
      <c r="G98" s="141">
        <v>19248.2</v>
      </c>
      <c r="H98" s="141">
        <v>0</v>
      </c>
      <c r="I98" s="24"/>
      <c r="J98" s="141">
        <v>0</v>
      </c>
      <c r="K98" s="141">
        <v>0</v>
      </c>
      <c r="L98" s="24">
        <v>881.03</v>
      </c>
    </row>
    <row r="99" spans="1:12" s="2" customFormat="1" ht="17.25" customHeight="1">
      <c r="A99" s="189"/>
      <c r="B99" s="189"/>
      <c r="C99" s="140" t="s">
        <v>56</v>
      </c>
      <c r="D99" s="141">
        <f t="shared" si="39"/>
        <v>23016.25</v>
      </c>
      <c r="E99" s="141">
        <f>348.34+1486</f>
        <v>1834.34</v>
      </c>
      <c r="F99" s="24">
        <v>500</v>
      </c>
      <c r="G99" s="141">
        <v>19746.5</v>
      </c>
      <c r="H99" s="141">
        <v>0</v>
      </c>
      <c r="I99" s="24"/>
      <c r="J99" s="141">
        <v>0</v>
      </c>
      <c r="K99" s="141">
        <v>0</v>
      </c>
      <c r="L99" s="24">
        <v>935.41</v>
      </c>
    </row>
    <row r="100" spans="1:12" s="2" customFormat="1" ht="17.25" customHeight="1">
      <c r="A100" s="189"/>
      <c r="B100" s="189"/>
      <c r="C100" s="140" t="s">
        <v>54</v>
      </c>
      <c r="D100" s="141">
        <f t="shared" si="39"/>
        <v>29902.53</v>
      </c>
      <c r="E100" s="141">
        <f>581.41+2740</f>
        <v>3321.41</v>
      </c>
      <c r="F100" s="24">
        <v>2158.5</v>
      </c>
      <c r="G100" s="141">
        <v>23245.5</v>
      </c>
      <c r="H100" s="141">
        <v>0</v>
      </c>
      <c r="I100" s="24"/>
      <c r="J100" s="141">
        <v>0</v>
      </c>
      <c r="K100" s="141">
        <v>0</v>
      </c>
      <c r="L100" s="24">
        <v>1177.1199999999999</v>
      </c>
    </row>
    <row r="101" spans="1:12" s="2" customFormat="1" ht="17.25" customHeight="1">
      <c r="A101" s="189"/>
      <c r="B101" s="189"/>
      <c r="C101" s="140" t="s">
        <v>55</v>
      </c>
      <c r="D101" s="141">
        <f t="shared" si="39"/>
        <v>22737.08</v>
      </c>
      <c r="E101" s="141">
        <v>857.49</v>
      </c>
      <c r="F101" s="24">
        <v>13138.7</v>
      </c>
      <c r="G101" s="141">
        <v>7652</v>
      </c>
      <c r="H101" s="141">
        <v>0</v>
      </c>
      <c r="I101" s="24"/>
      <c r="J101" s="141">
        <v>0</v>
      </c>
      <c r="K101" s="141">
        <v>0</v>
      </c>
      <c r="L101" s="24">
        <v>1088.8900000000001</v>
      </c>
    </row>
    <row r="102" spans="1:12">
      <c r="A102" s="52"/>
      <c r="B102" s="8"/>
      <c r="C102" s="11"/>
      <c r="D102" s="8"/>
      <c r="E102" s="31"/>
      <c r="F102" s="10"/>
      <c r="G102" s="31"/>
      <c r="H102" s="31"/>
      <c r="I102" s="10"/>
      <c r="J102" s="31"/>
      <c r="K102" s="31"/>
      <c r="L102" s="10"/>
    </row>
    <row r="103" spans="1:12" s="61" customFormat="1" ht="19.5">
      <c r="A103" s="192" t="s">
        <v>88</v>
      </c>
      <c r="B103" s="192"/>
      <c r="C103" s="192"/>
      <c r="E103" s="62"/>
      <c r="F103" s="63"/>
      <c r="G103" s="62"/>
      <c r="H103" s="62"/>
      <c r="I103" s="63"/>
      <c r="J103" s="196" t="s">
        <v>113</v>
      </c>
      <c r="K103" s="196"/>
      <c r="L103" s="196"/>
    </row>
    <row r="106" spans="1:12">
      <c r="B106" s="35"/>
      <c r="D106" s="187"/>
      <c r="E106" s="187"/>
      <c r="F106" s="187"/>
    </row>
    <row r="107" spans="1:12">
      <c r="B107" s="35"/>
    </row>
    <row r="108" spans="1:12">
      <c r="B108" s="35"/>
    </row>
    <row r="109" spans="1:12">
      <c r="B109" s="35"/>
    </row>
    <row r="110" spans="1:12">
      <c r="B110" s="35"/>
    </row>
    <row r="111" spans="1:12">
      <c r="B111" s="35"/>
    </row>
    <row r="112" spans="1:12">
      <c r="B112" s="35"/>
    </row>
    <row r="113" spans="2:2">
      <c r="B113" s="35"/>
    </row>
    <row r="114" spans="2:2">
      <c r="B114" s="35"/>
    </row>
  </sheetData>
  <mergeCells count="50">
    <mergeCell ref="G1:L1"/>
    <mergeCell ref="A93:A101"/>
    <mergeCell ref="B29:B38"/>
    <mergeCell ref="A29:A38"/>
    <mergeCell ref="G2:L2"/>
    <mergeCell ref="A4:L4"/>
    <mergeCell ref="A5:A6"/>
    <mergeCell ref="B5:B6"/>
    <mergeCell ref="C5:C6"/>
    <mergeCell ref="C89:C90"/>
    <mergeCell ref="A86:A88"/>
    <mergeCell ref="B86:B88"/>
    <mergeCell ref="A76:A79"/>
    <mergeCell ref="B76:B79"/>
    <mergeCell ref="B89:B92"/>
    <mergeCell ref="D5:L5"/>
    <mergeCell ref="J103:L103"/>
    <mergeCell ref="L89:L90"/>
    <mergeCell ref="F89:F90"/>
    <mergeCell ref="G89:G90"/>
    <mergeCell ref="H89:H90"/>
    <mergeCell ref="I89:I90"/>
    <mergeCell ref="J89:J90"/>
    <mergeCell ref="K89:K90"/>
    <mergeCell ref="D106:F106"/>
    <mergeCell ref="B48:B50"/>
    <mergeCell ref="A80:A82"/>
    <mergeCell ref="B80:B82"/>
    <mergeCell ref="A48:A50"/>
    <mergeCell ref="A83:A85"/>
    <mergeCell ref="B83:B85"/>
    <mergeCell ref="B51:B53"/>
    <mergeCell ref="A51:A53"/>
    <mergeCell ref="B93:B101"/>
    <mergeCell ref="A73:A75"/>
    <mergeCell ref="B73:B75"/>
    <mergeCell ref="E89:E90"/>
    <mergeCell ref="D89:D90"/>
    <mergeCell ref="A103:C103"/>
    <mergeCell ref="A89:A92"/>
    <mergeCell ref="A54:A63"/>
    <mergeCell ref="B54:B63"/>
    <mergeCell ref="A64:A72"/>
    <mergeCell ref="B64:B72"/>
    <mergeCell ref="B7:B17"/>
    <mergeCell ref="A7:A17"/>
    <mergeCell ref="A18:A28"/>
    <mergeCell ref="B18:B28"/>
    <mergeCell ref="A39:A47"/>
    <mergeCell ref="B39:B47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93"/>
  <sheetViews>
    <sheetView view="pageLayout" zoomScale="85" zoomScaleNormal="100" zoomScalePageLayoutView="85" workbookViewId="0">
      <selection activeCell="E85" sqref="E85"/>
    </sheetView>
  </sheetViews>
  <sheetFormatPr defaultRowHeight="12.75"/>
  <cols>
    <col min="1" max="1" width="18.5703125" style="53" customWidth="1"/>
    <col min="2" max="2" width="26.42578125" style="23" customWidth="1"/>
    <col min="3" max="3" width="25" style="1" customWidth="1"/>
    <col min="4" max="4" width="13.28515625" style="14" customWidth="1"/>
    <col min="5" max="5" width="12.42578125" style="14" customWidth="1"/>
    <col min="6" max="6" width="12.28515625" style="14" customWidth="1"/>
    <col min="7" max="8" width="12.140625" style="14" customWidth="1"/>
    <col min="9" max="10" width="12.42578125" style="14" customWidth="1"/>
    <col min="11" max="11" width="12.85546875" style="14" customWidth="1"/>
    <col min="12" max="12" width="3.42578125" style="1" customWidth="1"/>
    <col min="13" max="13" width="9.28515625" style="1" bestFit="1" customWidth="1"/>
    <col min="14" max="16384" width="9.140625" style="1"/>
  </cols>
  <sheetData>
    <row r="1" spans="1:11" ht="25.5" customHeight="1">
      <c r="B1" s="37"/>
      <c r="C1" s="12"/>
      <c r="D1" s="13"/>
      <c r="E1" s="13"/>
      <c r="F1" s="13"/>
      <c r="G1" s="163" t="s">
        <v>147</v>
      </c>
      <c r="H1" s="163"/>
      <c r="I1" s="163"/>
      <c r="J1" s="163"/>
      <c r="K1" s="163"/>
    </row>
    <row r="2" spans="1:11" ht="18" customHeight="1">
      <c r="A2" s="54"/>
      <c r="B2" s="37"/>
      <c r="C2" s="19"/>
      <c r="D2" s="13"/>
      <c r="E2" s="13"/>
      <c r="F2" s="13"/>
      <c r="G2" s="217" t="s">
        <v>144</v>
      </c>
      <c r="H2" s="217"/>
      <c r="I2" s="217"/>
      <c r="J2" s="217"/>
      <c r="K2" s="217"/>
    </row>
    <row r="3" spans="1:11" ht="72.75" customHeight="1">
      <c r="A3" s="211" t="s">
        <v>148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ht="9" hidden="1" customHeight="1">
      <c r="A4" s="54"/>
      <c r="B4" s="38"/>
      <c r="C4" s="20"/>
      <c r="D4" s="21"/>
      <c r="E4" s="21"/>
      <c r="F4" s="21"/>
      <c r="G4" s="21"/>
      <c r="H4" s="21"/>
    </row>
    <row r="5" spans="1:11" s="15" customFormat="1" ht="36" customHeight="1">
      <c r="A5" s="212" t="s">
        <v>8</v>
      </c>
      <c r="B5" s="214" t="s">
        <v>16</v>
      </c>
      <c r="C5" s="216" t="s">
        <v>12</v>
      </c>
      <c r="D5" s="216" t="s">
        <v>20</v>
      </c>
      <c r="E5" s="216"/>
      <c r="F5" s="216"/>
      <c r="G5" s="216"/>
      <c r="H5" s="216"/>
      <c r="I5" s="216"/>
      <c r="J5" s="216"/>
      <c r="K5" s="216"/>
    </row>
    <row r="6" spans="1:11" ht="48.75" customHeight="1">
      <c r="A6" s="213"/>
      <c r="B6" s="215"/>
      <c r="C6" s="216"/>
      <c r="D6" s="50" t="s">
        <v>125</v>
      </c>
      <c r="E6" s="50">
        <v>2014</v>
      </c>
      <c r="F6" s="50">
        <v>2015</v>
      </c>
      <c r="G6" s="66">
        <v>2016</v>
      </c>
      <c r="H6" s="66">
        <v>2017</v>
      </c>
      <c r="I6" s="66">
        <v>2018</v>
      </c>
      <c r="J6" s="66">
        <v>2019</v>
      </c>
      <c r="K6" s="50">
        <v>2020</v>
      </c>
    </row>
    <row r="7" spans="1:11" ht="27.75" customHeight="1">
      <c r="A7" s="218" t="s">
        <v>19</v>
      </c>
      <c r="B7" s="218" t="s">
        <v>123</v>
      </c>
      <c r="C7" s="58" t="s">
        <v>130</v>
      </c>
      <c r="D7" s="57">
        <f>D8+D9+D10+D11</f>
        <v>19025053.507999994</v>
      </c>
      <c r="E7" s="57">
        <f t="shared" ref="E7:K7" si="0">E8+E9+E10+E11</f>
        <v>1906661.7080000001</v>
      </c>
      <c r="F7" s="57">
        <f t="shared" si="0"/>
        <v>2098603.83</v>
      </c>
      <c r="G7" s="57">
        <f t="shared" si="0"/>
        <v>4603096.8</v>
      </c>
      <c r="H7" s="57">
        <f t="shared" ref="H7" si="1">H8+H9+H10+H11</f>
        <v>3670035.9</v>
      </c>
      <c r="I7" s="57">
        <f t="shared" si="0"/>
        <v>1677534</v>
      </c>
      <c r="J7" s="57">
        <f t="shared" si="0"/>
        <v>1366840</v>
      </c>
      <c r="K7" s="57">
        <f t="shared" si="0"/>
        <v>3702281.2699999996</v>
      </c>
    </row>
    <row r="8" spans="1:11" ht="19.5" customHeight="1">
      <c r="A8" s="219"/>
      <c r="B8" s="219"/>
      <c r="C8" s="58" t="s">
        <v>13</v>
      </c>
      <c r="D8" s="57">
        <f t="shared" ref="D8:K11" si="2">D13+D58+D78</f>
        <v>1632805.4500000002</v>
      </c>
      <c r="E8" s="57">
        <f t="shared" si="2"/>
        <v>28933.32</v>
      </c>
      <c r="F8" s="57">
        <f t="shared" si="2"/>
        <v>116200.03</v>
      </c>
      <c r="G8" s="57">
        <f t="shared" si="2"/>
        <v>0</v>
      </c>
      <c r="H8" s="57">
        <f t="shared" si="2"/>
        <v>1000000</v>
      </c>
      <c r="I8" s="57">
        <f t="shared" si="2"/>
        <v>0</v>
      </c>
      <c r="J8" s="57">
        <f t="shared" si="2"/>
        <v>0</v>
      </c>
      <c r="K8" s="57">
        <f t="shared" si="2"/>
        <v>487672.1</v>
      </c>
    </row>
    <row r="9" spans="1:11" ht="19.5" customHeight="1">
      <c r="A9" s="219"/>
      <c r="B9" s="219"/>
      <c r="C9" s="58" t="s">
        <v>11</v>
      </c>
      <c r="D9" s="57">
        <f t="shared" si="2"/>
        <v>10409748.959999997</v>
      </c>
      <c r="E9" s="57">
        <f t="shared" si="2"/>
        <v>1101044.8500000001</v>
      </c>
      <c r="F9" s="57">
        <f t="shared" si="2"/>
        <v>962442.99999999988</v>
      </c>
      <c r="G9" s="57">
        <f t="shared" si="2"/>
        <v>2796587.9</v>
      </c>
      <c r="H9" s="57">
        <f t="shared" si="2"/>
        <v>1768246.9</v>
      </c>
      <c r="I9" s="57">
        <f t="shared" si="2"/>
        <v>1034973</v>
      </c>
      <c r="J9" s="57">
        <f t="shared" si="2"/>
        <v>1000000</v>
      </c>
      <c r="K9" s="57">
        <f t="shared" si="2"/>
        <v>1746453.3099999998</v>
      </c>
    </row>
    <row r="10" spans="1:11" ht="19.5" customHeight="1">
      <c r="A10" s="219"/>
      <c r="B10" s="219"/>
      <c r="C10" s="58" t="s">
        <v>22</v>
      </c>
      <c r="D10" s="57">
        <f t="shared" si="2"/>
        <v>4303459.5979999993</v>
      </c>
      <c r="E10" s="57">
        <f t="shared" si="2"/>
        <v>547758.03800000006</v>
      </c>
      <c r="F10" s="57">
        <f t="shared" si="2"/>
        <v>566840.80000000005</v>
      </c>
      <c r="G10" s="57">
        <f t="shared" si="2"/>
        <v>1282923.9000000001</v>
      </c>
      <c r="H10" s="57">
        <f t="shared" si="2"/>
        <v>256534</v>
      </c>
      <c r="I10" s="57">
        <f t="shared" si="2"/>
        <v>468305</v>
      </c>
      <c r="J10" s="57">
        <f t="shared" si="2"/>
        <v>89125</v>
      </c>
      <c r="K10" s="57">
        <f t="shared" si="2"/>
        <v>1091972.8599999999</v>
      </c>
    </row>
    <row r="11" spans="1:11" ht="19.5" customHeight="1">
      <c r="A11" s="220"/>
      <c r="B11" s="220"/>
      <c r="C11" s="58" t="s">
        <v>21</v>
      </c>
      <c r="D11" s="57">
        <f t="shared" si="2"/>
        <v>2679039.5</v>
      </c>
      <c r="E11" s="57">
        <f t="shared" si="2"/>
        <v>228925.5</v>
      </c>
      <c r="F11" s="57">
        <f t="shared" si="2"/>
        <v>453120</v>
      </c>
      <c r="G11" s="57">
        <f t="shared" si="2"/>
        <v>523585</v>
      </c>
      <c r="H11" s="57">
        <f t="shared" si="2"/>
        <v>645255</v>
      </c>
      <c r="I11" s="57">
        <f t="shared" si="2"/>
        <v>174256</v>
      </c>
      <c r="J11" s="57">
        <f t="shared" si="2"/>
        <v>277715</v>
      </c>
      <c r="K11" s="57">
        <f t="shared" si="2"/>
        <v>376183</v>
      </c>
    </row>
    <row r="12" spans="1:11" ht="27" customHeight="1">
      <c r="A12" s="148" t="s">
        <v>6</v>
      </c>
      <c r="B12" s="148" t="s">
        <v>129</v>
      </c>
      <c r="C12" s="58" t="s">
        <v>130</v>
      </c>
      <c r="D12" s="57">
        <f>D13+D14+D15+D16</f>
        <v>14982950.929999998</v>
      </c>
      <c r="E12" s="57">
        <f t="shared" ref="E12:K12" si="3">E13+E14+E15+E16</f>
        <v>1391209.72</v>
      </c>
      <c r="F12" s="57">
        <f t="shared" si="3"/>
        <v>1279770.0999999999</v>
      </c>
      <c r="G12" s="57">
        <f t="shared" si="3"/>
        <v>3943843.2</v>
      </c>
      <c r="H12" s="57">
        <f t="shared" ref="H12" si="4">H13+H14+H15+H16</f>
        <v>2967780.9</v>
      </c>
      <c r="I12" s="57">
        <f t="shared" si="3"/>
        <v>1503278</v>
      </c>
      <c r="J12" s="57">
        <f t="shared" si="3"/>
        <v>1089125</v>
      </c>
      <c r="K12" s="57">
        <f t="shared" si="3"/>
        <v>2807944.01</v>
      </c>
    </row>
    <row r="13" spans="1:11" ht="19.5" customHeight="1">
      <c r="A13" s="149"/>
      <c r="B13" s="149"/>
      <c r="C13" s="58" t="s">
        <v>10</v>
      </c>
      <c r="D13" s="57">
        <f>D18+D23+D28+D33+D38+D43+D53</f>
        <v>1516372.1</v>
      </c>
      <c r="E13" s="57">
        <f t="shared" ref="E13:K14" si="5">E18+E23+E28+E33+E38+E43</f>
        <v>0</v>
      </c>
      <c r="F13" s="57">
        <f t="shared" si="5"/>
        <v>28700</v>
      </c>
      <c r="G13" s="57">
        <f t="shared" si="5"/>
        <v>0</v>
      </c>
      <c r="H13" s="57">
        <f>H18+H23+H28+H33+H38+H43+H48+H53</f>
        <v>1000000</v>
      </c>
      <c r="I13" s="57">
        <f t="shared" si="5"/>
        <v>0</v>
      </c>
      <c r="J13" s="57">
        <f t="shared" si="5"/>
        <v>0</v>
      </c>
      <c r="K13" s="57">
        <f t="shared" si="5"/>
        <v>487672.1</v>
      </c>
    </row>
    <row r="14" spans="1:11" ht="19.5" customHeight="1">
      <c r="A14" s="149"/>
      <c r="B14" s="149"/>
      <c r="C14" s="58" t="s">
        <v>11</v>
      </c>
      <c r="D14" s="57">
        <f>D19+D24+D29+D34+D39+D44+D54</f>
        <v>9951759.7199999988</v>
      </c>
      <c r="E14" s="57">
        <f t="shared" si="5"/>
        <v>949251.65</v>
      </c>
      <c r="F14" s="57">
        <f t="shared" si="5"/>
        <v>852310.49999999988</v>
      </c>
      <c r="G14" s="57">
        <f>G19+G24+G29+G34+G39+G44+G54</f>
        <v>2772795.4</v>
      </c>
      <c r="H14" s="57">
        <f>H19+H24+H29+H34+H39+H44+H54</f>
        <v>1766306.9</v>
      </c>
      <c r="I14" s="57">
        <f>I19+I24+I29+I34+I39+I44+I54</f>
        <v>1034973</v>
      </c>
      <c r="J14" s="57">
        <f>J19+J24+J29+J34+J39+J44+J54</f>
        <v>1000000</v>
      </c>
      <c r="K14" s="57">
        <f t="shared" si="5"/>
        <v>1576122.2699999998</v>
      </c>
    </row>
    <row r="15" spans="1:11" ht="19.5" customHeight="1">
      <c r="A15" s="149"/>
      <c r="B15" s="149"/>
      <c r="C15" s="58" t="s">
        <v>22</v>
      </c>
      <c r="D15" s="57">
        <f>D20+D25+D30+D35+D40+D45+D50+D55</f>
        <v>3514819.11</v>
      </c>
      <c r="E15" s="57">
        <f t="shared" ref="E15:K15" si="6">E20+E25+E30+E35+E40+E45+E50</f>
        <v>441958.07</v>
      </c>
      <c r="F15" s="57">
        <f t="shared" si="6"/>
        <v>398759.60000000003</v>
      </c>
      <c r="G15" s="57">
        <f>G20+G25+G30+G35+G40+G45+G50+G55</f>
        <v>1171047.8</v>
      </c>
      <c r="H15" s="57">
        <f>H20+H25+H30+H35+H40+H45+H50+H55</f>
        <v>201474</v>
      </c>
      <c r="I15" s="57">
        <f>I20+I25+I30+I35+I40+I45+I50+I55</f>
        <v>468305</v>
      </c>
      <c r="J15" s="57">
        <f t="shared" si="6"/>
        <v>89125</v>
      </c>
      <c r="K15" s="57">
        <f t="shared" si="6"/>
        <v>744149.6399999999</v>
      </c>
    </row>
    <row r="16" spans="1:11" ht="19.5" customHeight="1">
      <c r="A16" s="150"/>
      <c r="B16" s="150"/>
      <c r="C16" s="58" t="s">
        <v>21</v>
      </c>
      <c r="D16" s="57">
        <f t="shared" ref="D16:K16" si="7">D21+D26+D31+D41+D46+D36</f>
        <v>0</v>
      </c>
      <c r="E16" s="57">
        <f t="shared" si="7"/>
        <v>0</v>
      </c>
      <c r="F16" s="57">
        <f t="shared" si="7"/>
        <v>0</v>
      </c>
      <c r="G16" s="57">
        <f t="shared" si="7"/>
        <v>0</v>
      </c>
      <c r="H16" s="57">
        <f t="shared" ref="H16" si="8">H21+H26+H31+H41+H46+H36</f>
        <v>0</v>
      </c>
      <c r="I16" s="57">
        <f t="shared" si="7"/>
        <v>0</v>
      </c>
      <c r="J16" s="57">
        <f t="shared" si="7"/>
        <v>0</v>
      </c>
      <c r="K16" s="57">
        <f t="shared" si="7"/>
        <v>0</v>
      </c>
    </row>
    <row r="17" spans="1:11" ht="24.75" customHeight="1">
      <c r="A17" s="218" t="s">
        <v>42</v>
      </c>
      <c r="B17" s="218" t="s">
        <v>30</v>
      </c>
      <c r="C17" s="58" t="s">
        <v>130</v>
      </c>
      <c r="D17" s="57">
        <f>E17+F17+G17+H17+I17+J17+K17</f>
        <v>5205219.93</v>
      </c>
      <c r="E17" s="57">
        <f>E18+E19+E20+E21</f>
        <v>813764.20000000007</v>
      </c>
      <c r="F17" s="57">
        <f t="shared" ref="F17:K17" si="9">F18+F19+F20+F21</f>
        <v>768631.5</v>
      </c>
      <c r="G17" s="57">
        <f t="shared" si="9"/>
        <v>1075296.43</v>
      </c>
      <c r="H17" s="57">
        <f t="shared" ref="H17" si="10">H18+H19+H20+H21</f>
        <v>836684.9</v>
      </c>
      <c r="I17" s="57">
        <f t="shared" si="9"/>
        <v>404950</v>
      </c>
      <c r="J17" s="57">
        <f>J18+J19+J20+J21</f>
        <v>405155</v>
      </c>
      <c r="K17" s="57">
        <f t="shared" si="9"/>
        <v>900737.89999999991</v>
      </c>
    </row>
    <row r="18" spans="1:11" ht="19.5" customHeight="1">
      <c r="A18" s="219"/>
      <c r="B18" s="219"/>
      <c r="C18" s="58" t="s">
        <v>10</v>
      </c>
      <c r="D18" s="57">
        <f t="shared" ref="D18:D21" si="11">E18+F18+G18+H18+I18+J18+K18</f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ht="19.5" customHeight="1">
      <c r="A19" s="219"/>
      <c r="B19" s="219"/>
      <c r="C19" s="58" t="s">
        <v>11</v>
      </c>
      <c r="D19" s="57">
        <f t="shared" si="11"/>
        <v>3312829.42</v>
      </c>
      <c r="E19" s="57">
        <v>594376.05000000005</v>
      </c>
      <c r="F19" s="57">
        <v>598541.19999999995</v>
      </c>
      <c r="G19" s="57">
        <v>398180.2</v>
      </c>
      <c r="H19" s="57">
        <v>699901</v>
      </c>
      <c r="I19" s="57">
        <v>0</v>
      </c>
      <c r="J19" s="57">
        <v>366953</v>
      </c>
      <c r="K19" s="57">
        <v>654877.97</v>
      </c>
    </row>
    <row r="20" spans="1:11" ht="19.5" customHeight="1">
      <c r="A20" s="219"/>
      <c r="B20" s="219"/>
      <c r="C20" s="58" t="s">
        <v>22</v>
      </c>
      <c r="D20" s="57">
        <f t="shared" si="11"/>
        <v>1892390.5099999998</v>
      </c>
      <c r="E20" s="57">
        <v>219388.15</v>
      </c>
      <c r="F20" s="57">
        <v>170090.3</v>
      </c>
      <c r="G20" s="57">
        <v>677116.23</v>
      </c>
      <c r="H20" s="57">
        <v>136783.9</v>
      </c>
      <c r="I20" s="57">
        <f>378304+26646</f>
        <v>404950</v>
      </c>
      <c r="J20" s="57">
        <f>11351+26851</f>
        <v>38202</v>
      </c>
      <c r="K20" s="57">
        <v>245859.93</v>
      </c>
    </row>
    <row r="21" spans="1:11" ht="19.5" customHeight="1">
      <c r="A21" s="220"/>
      <c r="B21" s="220"/>
      <c r="C21" s="58" t="s">
        <v>21</v>
      </c>
      <c r="D21" s="57">
        <f t="shared" si="11"/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</row>
    <row r="22" spans="1:11" ht="29.25" customHeight="1">
      <c r="A22" s="218" t="s">
        <v>43</v>
      </c>
      <c r="B22" s="218" t="s">
        <v>40</v>
      </c>
      <c r="C22" s="58" t="s">
        <v>130</v>
      </c>
      <c r="D22" s="57">
        <f>D23+D24+D25+D26</f>
        <v>5256519.6899999995</v>
      </c>
      <c r="E22" s="57">
        <f>E23+E24+E25+E26</f>
        <v>385099.92000000004</v>
      </c>
      <c r="F22" s="57">
        <f>F23+F24+F25+F26</f>
        <v>330604.59999999998</v>
      </c>
      <c r="G22" s="57">
        <f t="shared" ref="G22:K22" si="12">G23+G24+G25+G26</f>
        <v>2793629.27</v>
      </c>
      <c r="H22" s="57">
        <f t="shared" ref="H22" si="13">H23+H24+H25+H26</f>
        <v>3146.9</v>
      </c>
      <c r="I22" s="57">
        <v>0</v>
      </c>
      <c r="J22" s="57">
        <f>J24+J25</f>
        <v>652625</v>
      </c>
      <c r="K22" s="57">
        <f t="shared" si="12"/>
        <v>273794</v>
      </c>
    </row>
    <row r="23" spans="1:11" ht="19.5" customHeight="1">
      <c r="A23" s="219"/>
      <c r="B23" s="219"/>
      <c r="C23" s="58" t="s">
        <v>10</v>
      </c>
      <c r="D23" s="57">
        <f>E23+F23+G23+H23+I23+J23+K23</f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</row>
    <row r="24" spans="1:11" ht="20.25" customHeight="1">
      <c r="A24" s="219"/>
      <c r="B24" s="219"/>
      <c r="C24" s="58" t="s">
        <v>11</v>
      </c>
      <c r="D24" s="57">
        <f t="shared" ref="D24:D26" si="14">E24+F24+G24+H24+I24+J24+K24</f>
        <v>4577224.21</v>
      </c>
      <c r="E24" s="57">
        <v>299765.71000000002</v>
      </c>
      <c r="F24" s="57">
        <v>209276.5</v>
      </c>
      <c r="G24" s="57">
        <v>2373981.9</v>
      </c>
      <c r="H24" s="57">
        <v>2699.9</v>
      </c>
      <c r="I24" s="57">
        <v>792873</v>
      </c>
      <c r="J24" s="57">
        <v>633047</v>
      </c>
      <c r="K24" s="57">
        <v>265580.2</v>
      </c>
    </row>
    <row r="25" spans="1:11" ht="19.5" customHeight="1">
      <c r="A25" s="219"/>
      <c r="B25" s="219"/>
      <c r="C25" s="58" t="s">
        <v>22</v>
      </c>
      <c r="D25" s="57">
        <f t="shared" si="14"/>
        <v>679295.48</v>
      </c>
      <c r="E25" s="57">
        <v>85334.21</v>
      </c>
      <c r="F25" s="57">
        <v>121328.1</v>
      </c>
      <c r="G25" s="57">
        <v>419647.37</v>
      </c>
      <c r="H25" s="57">
        <v>447</v>
      </c>
      <c r="I25" s="57">
        <v>24747</v>
      </c>
      <c r="J25" s="57">
        <v>19578</v>
      </c>
      <c r="K25" s="57">
        <v>8213.7999999999993</v>
      </c>
    </row>
    <row r="26" spans="1:11" ht="19.5" customHeight="1">
      <c r="A26" s="220"/>
      <c r="B26" s="220"/>
      <c r="C26" s="58" t="s">
        <v>21</v>
      </c>
      <c r="D26" s="57">
        <f t="shared" si="14"/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</row>
    <row r="27" spans="1:11" ht="29.25" customHeight="1">
      <c r="A27" s="218" t="s">
        <v>44</v>
      </c>
      <c r="B27" s="218" t="s">
        <v>41</v>
      </c>
      <c r="C27" s="58" t="s">
        <v>130</v>
      </c>
      <c r="D27" s="57">
        <f>D28+D29+D30+D31</f>
        <v>61504.85</v>
      </c>
      <c r="E27" s="57">
        <f t="shared" ref="E27:K27" si="15">E28+E29+E30+E31</f>
        <v>14243.2</v>
      </c>
      <c r="F27" s="57">
        <f>F28+F29+F30+F31</f>
        <v>10194.300000000001</v>
      </c>
      <c r="G27" s="57">
        <f t="shared" si="15"/>
        <v>0</v>
      </c>
      <c r="H27" s="57">
        <f t="shared" ref="H27" si="16">H28+H29+H30+H31</f>
        <v>7000</v>
      </c>
      <c r="I27" s="57">
        <f t="shared" si="15"/>
        <v>0</v>
      </c>
      <c r="J27" s="57">
        <f t="shared" si="15"/>
        <v>0</v>
      </c>
      <c r="K27" s="57">
        <f t="shared" si="15"/>
        <v>30067.350000000002</v>
      </c>
    </row>
    <row r="28" spans="1:11" ht="19.5" customHeight="1">
      <c r="A28" s="219"/>
      <c r="B28" s="219"/>
      <c r="C28" s="58" t="s">
        <v>10</v>
      </c>
      <c r="D28" s="57">
        <f>E28+F28+G28+H28+I28+J28+K28</f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ref="I28:J28" si="17">I29+I30+I31+I32</f>
        <v>0</v>
      </c>
      <c r="J28" s="57">
        <f t="shared" si="17"/>
        <v>0</v>
      </c>
      <c r="K28" s="57">
        <v>0</v>
      </c>
    </row>
    <row r="29" spans="1:11" ht="19.5" customHeight="1">
      <c r="A29" s="219"/>
      <c r="B29" s="219"/>
      <c r="C29" s="58" t="s">
        <v>11</v>
      </c>
      <c r="D29" s="57">
        <f t="shared" ref="D29:D31" si="18">E29+F29+G29+H29+I29+J29+K29</f>
        <v>55394.229999999996</v>
      </c>
      <c r="E29" s="57">
        <v>9546</v>
      </c>
      <c r="F29" s="57">
        <v>9983.1</v>
      </c>
      <c r="G29" s="57">
        <v>0</v>
      </c>
      <c r="H29" s="57">
        <v>6790</v>
      </c>
      <c r="I29" s="57">
        <f t="shared" ref="I29:J29" si="19">I30+I31+I32+I33</f>
        <v>0</v>
      </c>
      <c r="J29" s="57">
        <f t="shared" si="19"/>
        <v>0</v>
      </c>
      <c r="K29" s="57">
        <v>29075.13</v>
      </c>
    </row>
    <row r="30" spans="1:11" ht="19.5" customHeight="1">
      <c r="A30" s="219"/>
      <c r="B30" s="219"/>
      <c r="C30" s="58" t="s">
        <v>22</v>
      </c>
      <c r="D30" s="57">
        <f t="shared" si="18"/>
        <v>6110.62</v>
      </c>
      <c r="E30" s="57">
        <v>4697.2</v>
      </c>
      <c r="F30" s="57">
        <v>211.2</v>
      </c>
      <c r="G30" s="57">
        <v>0</v>
      </c>
      <c r="H30" s="57">
        <v>210</v>
      </c>
      <c r="I30" s="57">
        <f t="shared" ref="I30:J30" si="20">I31+I32+I33+I34</f>
        <v>0</v>
      </c>
      <c r="J30" s="57">
        <f t="shared" si="20"/>
        <v>0</v>
      </c>
      <c r="K30" s="57">
        <v>992.22</v>
      </c>
    </row>
    <row r="31" spans="1:11" ht="19.5" customHeight="1">
      <c r="A31" s="220"/>
      <c r="B31" s="220"/>
      <c r="C31" s="58" t="s">
        <v>21</v>
      </c>
      <c r="D31" s="57">
        <f t="shared" si="18"/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</row>
    <row r="32" spans="1:11" ht="29.25" customHeight="1">
      <c r="A32" s="218" t="s">
        <v>45</v>
      </c>
      <c r="B32" s="218" t="s">
        <v>28</v>
      </c>
      <c r="C32" s="58" t="s">
        <v>130</v>
      </c>
      <c r="D32" s="57">
        <f t="shared" ref="D32:K32" si="21">D33+D34+D35</f>
        <v>1645283.44</v>
      </c>
      <c r="E32" s="57">
        <f t="shared" si="21"/>
        <v>128950.64</v>
      </c>
      <c r="F32" s="57">
        <f t="shared" si="21"/>
        <v>27382.9</v>
      </c>
      <c r="G32" s="57">
        <f>G33+G34+G35+G36</f>
        <v>1326.5</v>
      </c>
      <c r="H32" s="57">
        <f>H33+H34+H35+H36</f>
        <v>24607.1</v>
      </c>
      <c r="I32" s="57">
        <v>0</v>
      </c>
      <c r="J32" s="57">
        <v>0</v>
      </c>
      <c r="K32" s="57">
        <f t="shared" si="21"/>
        <v>1463016.2999999998</v>
      </c>
    </row>
    <row r="33" spans="1:11" ht="19.5" customHeight="1">
      <c r="A33" s="219"/>
      <c r="B33" s="219"/>
      <c r="C33" s="58" t="s">
        <v>10</v>
      </c>
      <c r="D33" s="57">
        <f>E33+F33+G33+H33+I33+J33+K33</f>
        <v>487672.1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487672.1</v>
      </c>
    </row>
    <row r="34" spans="1:11" ht="19.5" customHeight="1">
      <c r="A34" s="219"/>
      <c r="B34" s="219"/>
      <c r="C34" s="58" t="s">
        <v>11</v>
      </c>
      <c r="D34" s="57">
        <f>E34+F34+G34+H34+I34+J34+K34</f>
        <v>564497.99</v>
      </c>
      <c r="E34" s="57">
        <v>45563.89</v>
      </c>
      <c r="F34" s="57">
        <v>6759.7</v>
      </c>
      <c r="G34" s="57">
        <v>633.29999999999995</v>
      </c>
      <c r="H34" s="57">
        <v>23869</v>
      </c>
      <c r="I34" s="57">
        <v>0</v>
      </c>
      <c r="J34" s="57">
        <v>0</v>
      </c>
      <c r="K34" s="57">
        <v>487672.1</v>
      </c>
    </row>
    <row r="35" spans="1:11" ht="19.5" customHeight="1">
      <c r="A35" s="219"/>
      <c r="B35" s="219"/>
      <c r="C35" s="58" t="s">
        <v>22</v>
      </c>
      <c r="D35" s="57">
        <f t="shared" ref="D35" si="22">E35+F35+G35+H35+I35+J35+K35</f>
        <v>593113.35</v>
      </c>
      <c r="E35" s="57">
        <v>83386.75</v>
      </c>
      <c r="F35" s="57">
        <v>20623.2</v>
      </c>
      <c r="G35" s="57">
        <v>693.2</v>
      </c>
      <c r="H35" s="57">
        <v>738.1</v>
      </c>
      <c r="I35" s="57">
        <v>0</v>
      </c>
      <c r="J35" s="57">
        <v>0</v>
      </c>
      <c r="K35" s="57">
        <v>487672.1</v>
      </c>
    </row>
    <row r="36" spans="1:11" ht="19.5" customHeight="1">
      <c r="A36" s="220"/>
      <c r="B36" s="220"/>
      <c r="C36" s="58" t="s">
        <v>21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</row>
    <row r="37" spans="1:11" ht="27.75" customHeight="1">
      <c r="A37" s="218" t="s">
        <v>46</v>
      </c>
      <c r="B37" s="218" t="s">
        <v>29</v>
      </c>
      <c r="C37" s="58" t="s">
        <v>130</v>
      </c>
      <c r="D37" s="57">
        <f>D38+D39+D40+D41</f>
        <v>250976.7</v>
      </c>
      <c r="E37" s="57">
        <f t="shared" ref="E37:K37" si="23">E38+E39+E40+E41</f>
        <v>0</v>
      </c>
      <c r="F37" s="57">
        <f t="shared" si="23"/>
        <v>111175</v>
      </c>
      <c r="G37" s="57">
        <f t="shared" si="23"/>
        <v>42246</v>
      </c>
      <c r="H37" s="57">
        <f t="shared" ref="H37" si="24">H38+H39+H40+H41</f>
        <v>0</v>
      </c>
      <c r="I37" s="57">
        <f t="shared" si="23"/>
        <v>0</v>
      </c>
      <c r="J37" s="57">
        <f t="shared" si="23"/>
        <v>0</v>
      </c>
      <c r="K37" s="57">
        <f t="shared" si="23"/>
        <v>97555.7</v>
      </c>
    </row>
    <row r="38" spans="1:11" ht="19.5" customHeight="1">
      <c r="A38" s="219"/>
      <c r="B38" s="219"/>
      <c r="C38" s="58" t="s">
        <v>10</v>
      </c>
      <c r="D38" s="57">
        <f>E38+F38+G38+H38+I38+J38+K38</f>
        <v>28700</v>
      </c>
      <c r="E38" s="57">
        <v>0</v>
      </c>
      <c r="F38" s="57">
        <v>28700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</row>
    <row r="39" spans="1:11" ht="19.5" customHeight="1">
      <c r="A39" s="219"/>
      <c r="B39" s="219"/>
      <c r="C39" s="58" t="s">
        <v>11</v>
      </c>
      <c r="D39" s="57">
        <f t="shared" ref="D39:D41" si="25">E39+F39+G39+H39+I39+J39+K39</f>
        <v>125305.7</v>
      </c>
      <c r="E39" s="57">
        <v>0</v>
      </c>
      <c r="F39" s="57">
        <v>27750</v>
      </c>
      <c r="G39" s="57">
        <v>0</v>
      </c>
      <c r="H39" s="57">
        <v>0</v>
      </c>
      <c r="I39" s="57">
        <v>0</v>
      </c>
      <c r="J39" s="57">
        <v>0</v>
      </c>
      <c r="K39" s="57">
        <v>97555.7</v>
      </c>
    </row>
    <row r="40" spans="1:11" ht="19.5" customHeight="1">
      <c r="A40" s="219"/>
      <c r="B40" s="219"/>
      <c r="C40" s="58" t="s">
        <v>22</v>
      </c>
      <c r="D40" s="57">
        <f t="shared" si="25"/>
        <v>96971</v>
      </c>
      <c r="E40" s="57">
        <v>0</v>
      </c>
      <c r="F40" s="57">
        <v>54725</v>
      </c>
      <c r="G40" s="57">
        <v>42246</v>
      </c>
      <c r="H40" s="57">
        <v>0</v>
      </c>
      <c r="I40" s="57">
        <v>0</v>
      </c>
      <c r="J40" s="57">
        <v>0</v>
      </c>
      <c r="K40" s="57">
        <v>0</v>
      </c>
    </row>
    <row r="41" spans="1:11" ht="19.5" customHeight="1">
      <c r="A41" s="220"/>
      <c r="B41" s="220"/>
      <c r="C41" s="58" t="s">
        <v>21</v>
      </c>
      <c r="D41" s="57">
        <f t="shared" si="25"/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</row>
    <row r="42" spans="1:11" ht="27.75" customHeight="1">
      <c r="A42" s="148" t="s">
        <v>47</v>
      </c>
      <c r="B42" s="148" t="s">
        <v>95</v>
      </c>
      <c r="C42" s="58" t="s">
        <v>130</v>
      </c>
      <c r="D42" s="57">
        <f>D43+D44+D45+D46</f>
        <v>247443.32</v>
      </c>
      <c r="E42" s="57">
        <f t="shared" ref="E42:K42" si="26">E43+E44+E45+E46</f>
        <v>47508.76</v>
      </c>
      <c r="F42" s="57">
        <f t="shared" si="26"/>
        <v>31781.8</v>
      </c>
      <c r="G42" s="57">
        <f t="shared" si="26"/>
        <v>31345</v>
      </c>
      <c r="H42" s="57">
        <f t="shared" ref="H42" si="27">H43+H44+H45+H46</f>
        <v>31345</v>
      </c>
      <c r="I42" s="57">
        <f>I45</f>
        <v>31345</v>
      </c>
      <c r="J42" s="57">
        <f>J45</f>
        <v>31345</v>
      </c>
      <c r="K42" s="57">
        <f t="shared" si="26"/>
        <v>42772.759999999995</v>
      </c>
    </row>
    <row r="43" spans="1:11" ht="19.5" customHeight="1">
      <c r="A43" s="149"/>
      <c r="B43" s="149"/>
      <c r="C43" s="58" t="s">
        <v>10</v>
      </c>
      <c r="D43" s="57">
        <f>E43+F43+G43+H43+I43+J43+K43</f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</row>
    <row r="44" spans="1:11" ht="19.5" customHeight="1">
      <c r="A44" s="149"/>
      <c r="B44" s="149"/>
      <c r="C44" s="58" t="s">
        <v>11</v>
      </c>
      <c r="D44" s="57">
        <f t="shared" ref="D44:D46" si="28">E44+F44+G44+H44+I44+J44+K44</f>
        <v>41361.17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41361.17</v>
      </c>
    </row>
    <row r="45" spans="1:11" ht="19.5" customHeight="1">
      <c r="A45" s="149"/>
      <c r="B45" s="149"/>
      <c r="C45" s="58" t="s">
        <v>22</v>
      </c>
      <c r="D45" s="57">
        <f t="shared" si="28"/>
        <v>206082.15</v>
      </c>
      <c r="E45" s="57">
        <v>47508.76</v>
      </c>
      <c r="F45" s="57">
        <v>31781.8</v>
      </c>
      <c r="G45" s="57">
        <v>31345</v>
      </c>
      <c r="H45" s="57">
        <v>31345</v>
      </c>
      <c r="I45" s="57">
        <v>31345</v>
      </c>
      <c r="J45" s="57">
        <v>31345</v>
      </c>
      <c r="K45" s="57">
        <v>1411.59</v>
      </c>
    </row>
    <row r="46" spans="1:11" ht="19.5" customHeight="1">
      <c r="A46" s="149"/>
      <c r="B46" s="149"/>
      <c r="C46" s="58" t="s">
        <v>21</v>
      </c>
      <c r="D46" s="57">
        <f t="shared" si="28"/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</row>
    <row r="47" spans="1:11" ht="25.5" customHeight="1">
      <c r="A47" s="218" t="s">
        <v>62</v>
      </c>
      <c r="B47" s="218" t="s">
        <v>131</v>
      </c>
      <c r="C47" s="58" t="s">
        <v>130</v>
      </c>
      <c r="D47" s="57">
        <f>D48+D49+D50+D51</f>
        <v>1643</v>
      </c>
      <c r="E47" s="57">
        <f t="shared" ref="E47:K47" si="29">E48+E49+E50+E51</f>
        <v>1643</v>
      </c>
      <c r="F47" s="57">
        <f t="shared" si="29"/>
        <v>0</v>
      </c>
      <c r="G47" s="57">
        <f t="shared" si="29"/>
        <v>0</v>
      </c>
      <c r="H47" s="57">
        <f t="shared" ref="H47" si="30">H48+H49+H50+H51</f>
        <v>0</v>
      </c>
      <c r="I47" s="57">
        <f t="shared" si="29"/>
        <v>0</v>
      </c>
      <c r="J47" s="57">
        <f t="shared" si="29"/>
        <v>0</v>
      </c>
      <c r="K47" s="57">
        <f t="shared" si="29"/>
        <v>0</v>
      </c>
    </row>
    <row r="48" spans="1:11" ht="19.5" customHeight="1">
      <c r="A48" s="219"/>
      <c r="B48" s="219"/>
      <c r="C48" s="58" t="s">
        <v>10</v>
      </c>
      <c r="D48" s="57">
        <f>E48+F48+G48+H48+I48+J48+K48</f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</row>
    <row r="49" spans="1:11" ht="19.5" customHeight="1">
      <c r="A49" s="219"/>
      <c r="B49" s="219"/>
      <c r="C49" s="58" t="s">
        <v>11</v>
      </c>
      <c r="D49" s="57">
        <f t="shared" ref="D49:D51" si="31">E49+F49+G49+H49+I49+J49+K49</f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</row>
    <row r="50" spans="1:11" ht="19.5" customHeight="1">
      <c r="A50" s="219"/>
      <c r="B50" s="219"/>
      <c r="C50" s="58" t="s">
        <v>22</v>
      </c>
      <c r="D50" s="57">
        <f t="shared" si="31"/>
        <v>1643</v>
      </c>
      <c r="E50" s="57">
        <v>1643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</row>
    <row r="51" spans="1:11" ht="19.5" customHeight="1">
      <c r="A51" s="220"/>
      <c r="B51" s="220"/>
      <c r="C51" s="58" t="s">
        <v>21</v>
      </c>
      <c r="D51" s="57">
        <f t="shared" si="31"/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</row>
    <row r="52" spans="1:11" ht="38.25" customHeight="1">
      <c r="A52" s="218" t="s">
        <v>112</v>
      </c>
      <c r="B52" s="218" t="s">
        <v>149</v>
      </c>
      <c r="C52" s="58" t="s">
        <v>130</v>
      </c>
      <c r="D52" s="57">
        <f>D53+D54+D55+D56</f>
        <v>2314360</v>
      </c>
      <c r="E52" s="57">
        <f t="shared" ref="E52:K52" si="32">E53+E54+E55+E56</f>
        <v>0</v>
      </c>
      <c r="F52" s="57">
        <f t="shared" si="32"/>
        <v>0</v>
      </c>
      <c r="G52" s="57">
        <v>0</v>
      </c>
      <c r="H52" s="57">
        <f t="shared" ref="H52" si="33">H53+H54+H55+H56</f>
        <v>2064997</v>
      </c>
      <c r="I52" s="57">
        <f t="shared" si="32"/>
        <v>249363</v>
      </c>
      <c r="J52" s="57">
        <f t="shared" si="32"/>
        <v>0</v>
      </c>
      <c r="K52" s="57">
        <f t="shared" si="32"/>
        <v>0</v>
      </c>
    </row>
    <row r="53" spans="1:11" ht="30.75" customHeight="1">
      <c r="A53" s="219"/>
      <c r="B53" s="219"/>
      <c r="C53" s="58" t="s">
        <v>10</v>
      </c>
      <c r="D53" s="57">
        <f>E53+F53+G53+H53+I53+J53+K53</f>
        <v>1000000</v>
      </c>
      <c r="E53" s="57">
        <v>0</v>
      </c>
      <c r="F53" s="57">
        <v>0</v>
      </c>
      <c r="G53" s="57">
        <v>0</v>
      </c>
      <c r="H53" s="57">
        <v>1000000</v>
      </c>
      <c r="I53" s="57">
        <v>0</v>
      </c>
      <c r="J53" s="57">
        <v>0</v>
      </c>
      <c r="K53" s="57">
        <v>0</v>
      </c>
    </row>
    <row r="54" spans="1:11" ht="30.75" customHeight="1">
      <c r="A54" s="219"/>
      <c r="B54" s="219"/>
      <c r="C54" s="58" t="s">
        <v>11</v>
      </c>
      <c r="D54" s="57">
        <f t="shared" ref="D54:D56" si="34">E54+F54+G54+H54+I54+J54+K54</f>
        <v>1275147</v>
      </c>
      <c r="E54" s="57">
        <v>0</v>
      </c>
      <c r="F54" s="57">
        <v>0</v>
      </c>
      <c r="G54" s="57">
        <v>0</v>
      </c>
      <c r="H54" s="57">
        <v>1033047</v>
      </c>
      <c r="I54" s="57">
        <v>242100</v>
      </c>
      <c r="J54" s="57">
        <v>0</v>
      </c>
      <c r="K54" s="57">
        <v>0</v>
      </c>
    </row>
    <row r="55" spans="1:11" ht="31.5" customHeight="1">
      <c r="A55" s="219"/>
      <c r="B55" s="219"/>
      <c r="C55" s="58" t="s">
        <v>22</v>
      </c>
      <c r="D55" s="57">
        <f t="shared" si="34"/>
        <v>39213</v>
      </c>
      <c r="E55" s="57">
        <v>0</v>
      </c>
      <c r="F55" s="57">
        <v>0</v>
      </c>
      <c r="G55" s="57">
        <v>0</v>
      </c>
      <c r="H55" s="57">
        <v>31950</v>
      </c>
      <c r="I55" s="57">
        <v>7263</v>
      </c>
      <c r="J55" s="57">
        <v>0</v>
      </c>
      <c r="K55" s="57">
        <v>0</v>
      </c>
    </row>
    <row r="56" spans="1:11" ht="30" customHeight="1">
      <c r="A56" s="220"/>
      <c r="B56" s="220"/>
      <c r="C56" s="58" t="s">
        <v>21</v>
      </c>
      <c r="D56" s="57">
        <f t="shared" si="34"/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</row>
    <row r="57" spans="1:11" ht="25.5" customHeight="1">
      <c r="A57" s="148" t="s">
        <v>7</v>
      </c>
      <c r="B57" s="148" t="s">
        <v>127</v>
      </c>
      <c r="C57" s="58" t="s">
        <v>130</v>
      </c>
      <c r="D57" s="57">
        <f>E57+F57+G57+H57+I57+J57+K57</f>
        <v>3561885.628</v>
      </c>
      <c r="E57" s="57">
        <f>E60+E61+E59+E58</f>
        <v>370733.598</v>
      </c>
      <c r="F57" s="57">
        <f>F60+F61+F59+F58</f>
        <v>796496.03</v>
      </c>
      <c r="G57" s="57">
        <f t="shared" ref="G57:K57" si="35">G60+G61</f>
        <v>524539</v>
      </c>
      <c r="H57" s="57">
        <f t="shared" ref="H57" si="36">H60+H61</f>
        <v>700255</v>
      </c>
      <c r="I57" s="57">
        <f t="shared" si="35"/>
        <v>174256</v>
      </c>
      <c r="J57" s="57">
        <f t="shared" si="35"/>
        <v>277715</v>
      </c>
      <c r="K57" s="57">
        <f t="shared" si="35"/>
        <v>717891</v>
      </c>
    </row>
    <row r="58" spans="1:11" ht="19.5" customHeight="1">
      <c r="A58" s="149"/>
      <c r="B58" s="149"/>
      <c r="C58" s="58" t="s">
        <v>10</v>
      </c>
      <c r="D58" s="57">
        <f>E58+F58</f>
        <v>116433.35</v>
      </c>
      <c r="E58" s="57">
        <f>E63</f>
        <v>28933.32</v>
      </c>
      <c r="F58" s="57">
        <f>F63</f>
        <v>87500.03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</row>
    <row r="59" spans="1:11" ht="19.5" customHeight="1">
      <c r="A59" s="149"/>
      <c r="B59" s="149"/>
      <c r="C59" s="58" t="s">
        <v>11</v>
      </c>
      <c r="D59" s="57">
        <f>E59+F59</f>
        <v>142578.54</v>
      </c>
      <c r="E59" s="57">
        <f>E64</f>
        <v>33688.54</v>
      </c>
      <c r="F59" s="57">
        <f>F64</f>
        <v>108890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</row>
    <row r="60" spans="1:11" ht="19.5" customHeight="1">
      <c r="A60" s="149"/>
      <c r="B60" s="149"/>
      <c r="C60" s="58" t="s">
        <v>22</v>
      </c>
      <c r="D60" s="57">
        <f>E60+F60+G60+H60+I60+J60+K60</f>
        <v>623834.23800000001</v>
      </c>
      <c r="E60" s="57">
        <f t="shared" ref="E60:K60" si="37">E65+E70+E75</f>
        <v>79186.237999999998</v>
      </c>
      <c r="F60" s="57">
        <f t="shared" si="37"/>
        <v>146986</v>
      </c>
      <c r="G60" s="57">
        <f>G65</f>
        <v>954</v>
      </c>
      <c r="H60" s="57">
        <f>H65</f>
        <v>55000</v>
      </c>
      <c r="I60" s="57">
        <f t="shared" si="37"/>
        <v>0</v>
      </c>
      <c r="J60" s="57">
        <f t="shared" si="37"/>
        <v>0</v>
      </c>
      <c r="K60" s="57">
        <f t="shared" si="37"/>
        <v>341708</v>
      </c>
    </row>
    <row r="61" spans="1:11" ht="23.25" customHeight="1">
      <c r="A61" s="150"/>
      <c r="B61" s="150"/>
      <c r="C61" s="58" t="s">
        <v>21</v>
      </c>
      <c r="D61" s="57">
        <f>D71</f>
        <v>2679039.5</v>
      </c>
      <c r="E61" s="57">
        <f t="shared" ref="E61:K61" si="38">E71</f>
        <v>228925.5</v>
      </c>
      <c r="F61" s="57">
        <v>453120</v>
      </c>
      <c r="G61" s="57">
        <f t="shared" si="38"/>
        <v>523585</v>
      </c>
      <c r="H61" s="57">
        <f t="shared" ref="H61" si="39">H71</f>
        <v>645255</v>
      </c>
      <c r="I61" s="57">
        <f t="shared" si="38"/>
        <v>174256</v>
      </c>
      <c r="J61" s="57">
        <f t="shared" si="38"/>
        <v>277715</v>
      </c>
      <c r="K61" s="57">
        <f t="shared" si="38"/>
        <v>376183</v>
      </c>
    </row>
    <row r="62" spans="1:11" ht="25.5" customHeight="1">
      <c r="A62" s="218" t="s">
        <v>48</v>
      </c>
      <c r="B62" s="218" t="s">
        <v>38</v>
      </c>
      <c r="C62" s="58" t="s">
        <v>130</v>
      </c>
      <c r="D62" s="57">
        <f>D65+D64+D66+D63</f>
        <v>881888.89</v>
      </c>
      <c r="E62" s="57">
        <f>E63+E64+E65</f>
        <v>141363.85999999999</v>
      </c>
      <c r="F62" s="57">
        <f>F65+F64+F63</f>
        <v>343376.03</v>
      </c>
      <c r="G62" s="57">
        <f t="shared" ref="G62:K62" si="40">G65</f>
        <v>954</v>
      </c>
      <c r="H62" s="57">
        <f t="shared" ref="H62" si="41">H65</f>
        <v>55000</v>
      </c>
      <c r="I62" s="57">
        <f t="shared" si="40"/>
        <v>0</v>
      </c>
      <c r="J62" s="57">
        <f t="shared" si="40"/>
        <v>0</v>
      </c>
      <c r="K62" s="57">
        <f t="shared" si="40"/>
        <v>341195</v>
      </c>
    </row>
    <row r="63" spans="1:11" ht="19.5" customHeight="1">
      <c r="A63" s="219"/>
      <c r="B63" s="219"/>
      <c r="C63" s="58" t="s">
        <v>10</v>
      </c>
      <c r="D63" s="57">
        <f>E63+F63</f>
        <v>116433.35</v>
      </c>
      <c r="E63" s="57">
        <v>28933.32</v>
      </c>
      <c r="F63" s="57">
        <v>87500.03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</row>
    <row r="64" spans="1:11" ht="19.5" customHeight="1">
      <c r="A64" s="219"/>
      <c r="B64" s="219"/>
      <c r="C64" s="58" t="s">
        <v>11</v>
      </c>
      <c r="D64" s="57">
        <f>E64+F64</f>
        <v>142578.54</v>
      </c>
      <c r="E64" s="57">
        <v>33688.54</v>
      </c>
      <c r="F64" s="57">
        <v>108890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</row>
    <row r="65" spans="1:11" ht="19.5" customHeight="1">
      <c r="A65" s="219"/>
      <c r="B65" s="219"/>
      <c r="C65" s="58" t="s">
        <v>22</v>
      </c>
      <c r="D65" s="57">
        <f>E65+F65+G65+H65+I65+J65+K65</f>
        <v>622877</v>
      </c>
      <c r="E65" s="57">
        <v>78742</v>
      </c>
      <c r="F65" s="57">
        <v>146986</v>
      </c>
      <c r="G65" s="57">
        <v>954</v>
      </c>
      <c r="H65" s="57">
        <v>55000</v>
      </c>
      <c r="I65" s="57">
        <v>0</v>
      </c>
      <c r="J65" s="57">
        <v>0</v>
      </c>
      <c r="K65" s="57">
        <v>341195</v>
      </c>
    </row>
    <row r="66" spans="1:11" ht="23.25" customHeight="1">
      <c r="A66" s="220"/>
      <c r="B66" s="220"/>
      <c r="C66" s="58" t="s">
        <v>21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</row>
    <row r="67" spans="1:11" ht="25.5" customHeight="1">
      <c r="A67" s="218" t="s">
        <v>49</v>
      </c>
      <c r="B67" s="218" t="s">
        <v>39</v>
      </c>
      <c r="C67" s="58" t="s">
        <v>130</v>
      </c>
      <c r="D67" s="57">
        <f>D70+D71</f>
        <v>2679552.5</v>
      </c>
      <c r="E67" s="57">
        <f t="shared" ref="E67:K67" si="42">E70+E71</f>
        <v>228925.5</v>
      </c>
      <c r="F67" s="57">
        <f t="shared" si="42"/>
        <v>453120</v>
      </c>
      <c r="G67" s="57">
        <f t="shared" si="42"/>
        <v>523585</v>
      </c>
      <c r="H67" s="57">
        <f>H71</f>
        <v>645255</v>
      </c>
      <c r="I67" s="57">
        <f t="shared" si="42"/>
        <v>174256</v>
      </c>
      <c r="J67" s="57">
        <f t="shared" si="42"/>
        <v>277715</v>
      </c>
      <c r="K67" s="57">
        <f t="shared" si="42"/>
        <v>376696</v>
      </c>
    </row>
    <row r="68" spans="1:11" ht="19.5" customHeight="1">
      <c r="A68" s="219"/>
      <c r="B68" s="219"/>
      <c r="C68" s="58" t="s">
        <v>10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</row>
    <row r="69" spans="1:11" ht="19.5" customHeight="1">
      <c r="A69" s="219"/>
      <c r="B69" s="219"/>
      <c r="C69" s="58" t="s">
        <v>11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</row>
    <row r="70" spans="1:11" ht="19.5" customHeight="1">
      <c r="A70" s="219"/>
      <c r="B70" s="219"/>
      <c r="C70" s="58" t="s">
        <v>22</v>
      </c>
      <c r="D70" s="57">
        <f>H70+I70+J70+K70</f>
        <v>513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513</v>
      </c>
    </row>
    <row r="71" spans="1:11" ht="22.5" customHeight="1">
      <c r="A71" s="220"/>
      <c r="B71" s="220"/>
      <c r="C71" s="58" t="s">
        <v>21</v>
      </c>
      <c r="D71" s="57">
        <f>E71+F71+G71+H71+I71+J71+K71</f>
        <v>2679039.5</v>
      </c>
      <c r="E71" s="57">
        <v>228925.5</v>
      </c>
      <c r="F71" s="57">
        <v>453120</v>
      </c>
      <c r="G71" s="57">
        <v>523585</v>
      </c>
      <c r="H71" s="57">
        <v>645255</v>
      </c>
      <c r="I71" s="57">
        <v>174256</v>
      </c>
      <c r="J71" s="57">
        <v>277715</v>
      </c>
      <c r="K71" s="57">
        <v>376183</v>
      </c>
    </row>
    <row r="72" spans="1:11" ht="25.5" customHeight="1">
      <c r="A72" s="218" t="s">
        <v>50</v>
      </c>
      <c r="B72" s="218" t="s">
        <v>96</v>
      </c>
      <c r="C72" s="58" t="s">
        <v>130</v>
      </c>
      <c r="D72" s="57">
        <f>D75</f>
        <v>444.238</v>
      </c>
      <c r="E72" s="57">
        <f t="shared" ref="E72:K72" si="43">E75</f>
        <v>444.238</v>
      </c>
      <c r="F72" s="57">
        <f t="shared" si="43"/>
        <v>0</v>
      </c>
      <c r="G72" s="57">
        <f t="shared" si="43"/>
        <v>0</v>
      </c>
      <c r="H72" s="57">
        <f t="shared" ref="H72" si="44">H75</f>
        <v>0</v>
      </c>
      <c r="I72" s="57">
        <f t="shared" si="43"/>
        <v>0</v>
      </c>
      <c r="J72" s="57">
        <f t="shared" si="43"/>
        <v>0</v>
      </c>
      <c r="K72" s="57">
        <f t="shared" si="43"/>
        <v>0</v>
      </c>
    </row>
    <row r="73" spans="1:11" ht="19.5" customHeight="1">
      <c r="A73" s="219"/>
      <c r="B73" s="219"/>
      <c r="C73" s="58" t="s">
        <v>10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</row>
    <row r="74" spans="1:11" ht="19.5" customHeight="1">
      <c r="A74" s="220"/>
      <c r="B74" s="220"/>
      <c r="C74" s="58" t="s">
        <v>11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</row>
    <row r="75" spans="1:11" ht="19.5" customHeight="1">
      <c r="A75" s="149"/>
      <c r="B75" s="149"/>
      <c r="C75" s="58" t="s">
        <v>22</v>
      </c>
      <c r="D75" s="57">
        <f>E75+F75+G75+H75+I75+J75+K75</f>
        <v>444.238</v>
      </c>
      <c r="E75" s="57">
        <v>444.238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</row>
    <row r="76" spans="1:11" ht="19.5" customHeight="1">
      <c r="A76" s="150"/>
      <c r="B76" s="150"/>
      <c r="C76" s="58" t="s">
        <v>21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</row>
    <row r="77" spans="1:11" ht="25.5" customHeight="1">
      <c r="A77" s="218" t="s">
        <v>97</v>
      </c>
      <c r="B77" s="218" t="s">
        <v>128</v>
      </c>
      <c r="C77" s="58" t="s">
        <v>130</v>
      </c>
      <c r="D77" s="57">
        <f>D78+D79+D80+D81</f>
        <v>480216.95</v>
      </c>
      <c r="E77" s="57">
        <f t="shared" ref="E77:K77" si="45">E78+E79+E80+E81</f>
        <v>144718.39000000001</v>
      </c>
      <c r="F77" s="57">
        <f t="shared" si="45"/>
        <v>22337.7</v>
      </c>
      <c r="G77" s="57">
        <f t="shared" si="45"/>
        <v>134714.6</v>
      </c>
      <c r="H77" s="57">
        <f t="shared" ref="H77" si="46">H78+H79+H80+H81</f>
        <v>2000</v>
      </c>
      <c r="I77" s="57">
        <f t="shared" si="45"/>
        <v>0</v>
      </c>
      <c r="J77" s="57">
        <f t="shared" si="45"/>
        <v>0</v>
      </c>
      <c r="K77" s="57">
        <f t="shared" si="45"/>
        <v>176446.26</v>
      </c>
    </row>
    <row r="78" spans="1:11" ht="24" customHeight="1">
      <c r="A78" s="219"/>
      <c r="B78" s="219"/>
      <c r="C78" s="58" t="s">
        <v>10</v>
      </c>
      <c r="D78" s="57">
        <f>E78+F78+G78+H78+I78+J78+K78</f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</row>
    <row r="79" spans="1:11" ht="24.75" customHeight="1">
      <c r="A79" s="219"/>
      <c r="B79" s="219"/>
      <c r="C79" s="58" t="s">
        <v>11</v>
      </c>
      <c r="D79" s="57">
        <f t="shared" ref="D79:D81" si="47">E79+F79+G79+H79+I79+J79+K79</f>
        <v>315410.7</v>
      </c>
      <c r="E79" s="57">
        <v>118104.66</v>
      </c>
      <c r="F79" s="57">
        <v>1242.5</v>
      </c>
      <c r="G79" s="57">
        <v>23792.5</v>
      </c>
      <c r="H79" s="57">
        <v>1940</v>
      </c>
      <c r="I79" s="57">
        <v>0</v>
      </c>
      <c r="J79" s="57">
        <v>0</v>
      </c>
      <c r="K79" s="57">
        <v>170331.04</v>
      </c>
    </row>
    <row r="80" spans="1:11" ht="23.25" customHeight="1">
      <c r="A80" s="219"/>
      <c r="B80" s="219"/>
      <c r="C80" s="58" t="s">
        <v>22</v>
      </c>
      <c r="D80" s="57">
        <f t="shared" si="47"/>
        <v>164806.25</v>
      </c>
      <c r="E80" s="57">
        <f>3646.73+22967</f>
        <v>26613.73</v>
      </c>
      <c r="F80" s="57">
        <v>21095.200000000001</v>
      </c>
      <c r="G80" s="57">
        <v>110922.1</v>
      </c>
      <c r="H80" s="57">
        <v>60</v>
      </c>
      <c r="I80" s="57">
        <v>0</v>
      </c>
      <c r="J80" s="57">
        <v>0</v>
      </c>
      <c r="K80" s="57">
        <v>6115.22</v>
      </c>
    </row>
    <row r="81" spans="1:12" ht="29.25" customHeight="1">
      <c r="A81" s="220"/>
      <c r="B81" s="220"/>
      <c r="C81" s="58" t="s">
        <v>21</v>
      </c>
      <c r="D81" s="57">
        <f t="shared" si="47"/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</row>
    <row r="82" spans="1:12" ht="17.25" customHeight="1">
      <c r="A82" s="55"/>
      <c r="B82" s="39"/>
      <c r="C82" s="15"/>
      <c r="D82" s="22"/>
      <c r="E82" s="17"/>
      <c r="F82" s="17"/>
      <c r="G82" s="17"/>
      <c r="H82" s="17"/>
      <c r="I82" s="22"/>
      <c r="J82" s="22"/>
      <c r="K82" s="22"/>
      <c r="L82" s="32"/>
    </row>
    <row r="83" spans="1:12" s="60" customFormat="1" ht="18" customHeight="1">
      <c r="A83" s="160" t="s">
        <v>88</v>
      </c>
      <c r="B83" s="160"/>
      <c r="C83" s="160"/>
      <c r="D83" s="59"/>
      <c r="E83" s="59"/>
      <c r="F83" s="59"/>
      <c r="G83" s="59"/>
      <c r="H83" s="59"/>
      <c r="I83" s="161" t="s">
        <v>113</v>
      </c>
      <c r="J83" s="161"/>
      <c r="K83" s="161"/>
    </row>
    <row r="84" spans="1:12" s="40" customFormat="1" ht="17.25" customHeight="1">
      <c r="A84" s="56"/>
      <c r="B84" s="41"/>
      <c r="D84" s="42"/>
      <c r="E84" s="42"/>
      <c r="F84" s="42"/>
      <c r="G84" s="42"/>
      <c r="H84" s="42"/>
      <c r="I84" s="42"/>
      <c r="J84" s="42"/>
      <c r="K84" s="42"/>
      <c r="L84" s="32"/>
    </row>
    <row r="85" spans="1:12" s="40" customFormat="1" ht="17.25" customHeight="1">
      <c r="A85" s="56"/>
      <c r="B85" s="41"/>
      <c r="D85" s="42"/>
      <c r="E85" s="42"/>
      <c r="F85" s="42"/>
      <c r="G85" s="42"/>
      <c r="H85" s="42"/>
      <c r="I85" s="42"/>
      <c r="J85" s="42"/>
      <c r="K85" s="42"/>
      <c r="L85" s="32"/>
    </row>
    <row r="86" spans="1:12" s="32" customFormat="1" ht="27" customHeight="1">
      <c r="A86" s="48"/>
      <c r="B86" s="36"/>
      <c r="D86" s="43"/>
      <c r="E86" s="43"/>
      <c r="F86" s="43"/>
      <c r="G86" s="67"/>
      <c r="H86" s="67"/>
      <c r="I86" s="162"/>
      <c r="J86" s="162"/>
      <c r="K86" s="43"/>
    </row>
    <row r="87" spans="1:12" s="40" customFormat="1" ht="33.75" customHeight="1">
      <c r="A87" s="56"/>
      <c r="B87" s="41"/>
      <c r="D87" s="42"/>
      <c r="E87" s="42"/>
      <c r="F87" s="42"/>
      <c r="G87" s="42"/>
      <c r="H87" s="42"/>
      <c r="I87" s="42"/>
      <c r="J87" s="42"/>
      <c r="K87" s="42"/>
      <c r="L87" s="32"/>
    </row>
    <row r="88" spans="1:12" s="40" customFormat="1" ht="18.75">
      <c r="A88" s="56"/>
      <c r="B88" s="41"/>
      <c r="D88" s="42"/>
      <c r="E88" s="42"/>
      <c r="F88" s="42"/>
      <c r="G88" s="42"/>
      <c r="H88" s="42"/>
      <c r="I88" s="42"/>
      <c r="J88" s="42"/>
      <c r="K88" s="42"/>
      <c r="L88" s="32"/>
    </row>
    <row r="89" spans="1:12" s="40" customFormat="1" ht="18.75">
      <c r="A89" s="56"/>
      <c r="B89" s="41"/>
      <c r="D89" s="42"/>
      <c r="E89" s="42"/>
      <c r="F89" s="42"/>
      <c r="G89" s="42"/>
      <c r="H89" s="42"/>
      <c r="I89" s="42"/>
      <c r="J89" s="42"/>
      <c r="K89" s="42"/>
      <c r="L89" s="32"/>
    </row>
    <row r="90" spans="1:12" s="40" customFormat="1" ht="9" customHeight="1">
      <c r="A90" s="56"/>
      <c r="B90" s="41"/>
      <c r="D90" s="42"/>
      <c r="E90" s="42"/>
      <c r="F90" s="42"/>
      <c r="G90" s="42"/>
      <c r="H90" s="42"/>
      <c r="I90" s="42"/>
      <c r="J90" s="42"/>
      <c r="K90" s="42"/>
    </row>
    <row r="91" spans="1:12" s="40" customFormat="1" ht="18.75" hidden="1" customHeight="1">
      <c r="A91" s="56"/>
      <c r="B91" s="41"/>
      <c r="D91" s="42"/>
      <c r="E91" s="42"/>
      <c r="F91" s="42"/>
      <c r="G91" s="42"/>
      <c r="H91" s="42"/>
      <c r="I91" s="42"/>
      <c r="J91" s="42"/>
      <c r="K91" s="42"/>
    </row>
    <row r="92" spans="1:12" ht="18.75" hidden="1" customHeight="1"/>
    <row r="93" spans="1:12" ht="18.75" hidden="1" customHeight="1"/>
  </sheetData>
  <mergeCells count="34">
    <mergeCell ref="A77:A81"/>
    <mergeCell ref="B77:B81"/>
    <mergeCell ref="A62:A66"/>
    <mergeCell ref="B62:B66"/>
    <mergeCell ref="A67:A71"/>
    <mergeCell ref="B67:B71"/>
    <mergeCell ref="A72:A74"/>
    <mergeCell ref="B72:B74"/>
    <mergeCell ref="A37:A41"/>
    <mergeCell ref="B37:B41"/>
    <mergeCell ref="B47:B51"/>
    <mergeCell ref="A52:A56"/>
    <mergeCell ref="B52:B56"/>
    <mergeCell ref="B22:B26"/>
    <mergeCell ref="A27:A31"/>
    <mergeCell ref="B27:B31"/>
    <mergeCell ref="A32:A36"/>
    <mergeCell ref="B32:B36"/>
    <mergeCell ref="I83:K83"/>
    <mergeCell ref="I86:J86"/>
    <mergeCell ref="A83:C83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</mergeCells>
  <pageMargins left="0.70866141732283472" right="0.19685039370078741" top="1.2583333333333333" bottom="0.19685039370078741" header="0" footer="0.23622047244094491"/>
  <pageSetup paperSize="9" scale="80" orientation="landscape" r:id="rId1"/>
  <headerFooter differentFirst="1">
    <oddHeader xml:space="preserve">&amp;C
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166"/>
  <sheetViews>
    <sheetView tabSelected="1" view="pageBreakPreview" topLeftCell="A143" zoomScale="75" zoomScaleNormal="100" zoomScaleSheetLayoutView="75" workbookViewId="0">
      <selection activeCell="O161" sqref="O161:P162"/>
    </sheetView>
  </sheetViews>
  <sheetFormatPr defaultColWidth="9.140625" defaultRowHeight="15.75"/>
  <cols>
    <col min="1" max="1" width="5" style="12" customWidth="1"/>
    <col min="2" max="2" width="24.28515625" style="84" hidden="1" customWidth="1"/>
    <col min="3" max="3" width="14.5703125" style="12" hidden="1" customWidth="1"/>
    <col min="4" max="4" width="20.5703125" style="13" hidden="1" customWidth="1"/>
    <col min="5" max="5" width="19.7109375" style="12" hidden="1" customWidth="1" collapsed="1"/>
    <col min="6" max="6" width="10.7109375" style="86" hidden="1" customWidth="1"/>
    <col min="7" max="7" width="10.28515625" style="12" hidden="1" customWidth="1"/>
    <col min="8" max="8" width="8.28515625" style="86" hidden="1" customWidth="1" collapsed="1"/>
    <col min="9" max="9" width="12.85546875" style="12" hidden="1" customWidth="1"/>
    <col min="10" max="10" width="11.42578125" style="86" hidden="1" customWidth="1" collapsed="1"/>
    <col min="11" max="11" width="18.7109375" style="12" customWidth="1" collapsed="1"/>
    <col min="12" max="12" width="23.7109375" style="12" customWidth="1"/>
    <col min="13" max="13" width="8.28515625" style="12" customWidth="1"/>
    <col min="14" max="14" width="9.42578125" style="19" customWidth="1" collapsed="1"/>
    <col min="15" max="15" width="12.85546875" style="87" customWidth="1"/>
    <col min="16" max="16" width="10.85546875" style="12" customWidth="1" collapsed="1"/>
    <col min="17" max="17" width="21.5703125" style="12" customWidth="1"/>
    <col min="18" max="18" width="17.28515625" style="12" customWidth="1"/>
    <col min="19" max="19" width="8.7109375" style="12" customWidth="1"/>
    <col min="20" max="20" width="9.5703125" style="12" customWidth="1"/>
    <col min="21" max="21" width="12" style="12" customWidth="1"/>
    <col min="22" max="22" width="12.42578125" style="12" customWidth="1"/>
    <col min="23" max="23" width="9.140625" style="12" collapsed="1"/>
    <col min="24" max="16384" width="9.140625" style="12"/>
  </cols>
  <sheetData>
    <row r="1" spans="1:22" ht="18.75">
      <c r="U1" s="36" t="s">
        <v>171</v>
      </c>
      <c r="V1" s="36"/>
    </row>
    <row r="2" spans="1:22" ht="18.75">
      <c r="B2" s="221" t="s">
        <v>170</v>
      </c>
      <c r="C2" s="221"/>
      <c r="D2" s="221"/>
      <c r="E2" s="221"/>
      <c r="T2" s="222" t="s">
        <v>144</v>
      </c>
      <c r="U2" s="222"/>
      <c r="V2" s="222"/>
    </row>
    <row r="3" spans="1:22" ht="18.75">
      <c r="B3" s="88"/>
      <c r="C3" s="88"/>
      <c r="D3" s="88"/>
      <c r="E3" s="88"/>
      <c r="T3" s="222"/>
      <c r="U3" s="222"/>
      <c r="V3" s="222"/>
    </row>
    <row r="4" spans="1:22" ht="21" customHeight="1">
      <c r="A4" s="242" t="s">
        <v>400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 ht="21.75" customHeigh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</row>
    <row r="6" spans="1:22">
      <c r="A6" s="223" t="s">
        <v>172</v>
      </c>
      <c r="B6" s="212" t="s">
        <v>173</v>
      </c>
      <c r="C6" s="227" t="s">
        <v>174</v>
      </c>
      <c r="D6" s="228"/>
      <c r="E6" s="233" t="s">
        <v>175</v>
      </c>
      <c r="F6" s="234"/>
      <c r="G6" s="234"/>
      <c r="H6" s="234"/>
      <c r="I6" s="234"/>
      <c r="J6" s="235"/>
      <c r="K6" s="233" t="s">
        <v>176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5"/>
    </row>
    <row r="7" spans="1:22">
      <c r="A7" s="224"/>
      <c r="B7" s="226"/>
      <c r="C7" s="229"/>
      <c r="D7" s="230"/>
      <c r="E7" s="236" t="s">
        <v>177</v>
      </c>
      <c r="F7" s="237"/>
      <c r="G7" s="233" t="s">
        <v>178</v>
      </c>
      <c r="H7" s="234"/>
      <c r="I7" s="234"/>
      <c r="J7" s="235"/>
      <c r="K7" s="233" t="s">
        <v>179</v>
      </c>
      <c r="L7" s="234"/>
      <c r="M7" s="234"/>
      <c r="N7" s="234"/>
      <c r="O7" s="234"/>
      <c r="P7" s="235"/>
      <c r="Q7" s="233" t="s">
        <v>180</v>
      </c>
      <c r="R7" s="234"/>
      <c r="S7" s="234"/>
      <c r="T7" s="234"/>
      <c r="U7" s="234"/>
      <c r="V7" s="235"/>
    </row>
    <row r="8" spans="1:22">
      <c r="A8" s="224"/>
      <c r="B8" s="226"/>
      <c r="C8" s="229"/>
      <c r="D8" s="230"/>
      <c r="E8" s="238"/>
      <c r="F8" s="239"/>
      <c r="G8" s="236" t="s">
        <v>181</v>
      </c>
      <c r="H8" s="237"/>
      <c r="I8" s="236" t="s">
        <v>182</v>
      </c>
      <c r="J8" s="237"/>
      <c r="K8" s="212" t="s">
        <v>183</v>
      </c>
      <c r="L8" s="212" t="s">
        <v>184</v>
      </c>
      <c r="M8" s="212" t="s">
        <v>185</v>
      </c>
      <c r="N8" s="212" t="s">
        <v>186</v>
      </c>
      <c r="O8" s="254" t="s">
        <v>187</v>
      </c>
      <c r="P8" s="212" t="s">
        <v>188</v>
      </c>
      <c r="Q8" s="212" t="s">
        <v>183</v>
      </c>
      <c r="R8" s="212" t="s">
        <v>184</v>
      </c>
      <c r="S8" s="212" t="s">
        <v>185</v>
      </c>
      <c r="T8" s="212" t="s">
        <v>186</v>
      </c>
      <c r="U8" s="254" t="s">
        <v>187</v>
      </c>
      <c r="V8" s="212" t="s">
        <v>188</v>
      </c>
    </row>
    <row r="9" spans="1:22">
      <c r="A9" s="224"/>
      <c r="B9" s="213"/>
      <c r="C9" s="231"/>
      <c r="D9" s="232"/>
      <c r="E9" s="240"/>
      <c r="F9" s="241"/>
      <c r="G9" s="240"/>
      <c r="H9" s="241"/>
      <c r="I9" s="240"/>
      <c r="J9" s="241"/>
      <c r="K9" s="213"/>
      <c r="L9" s="226"/>
      <c r="M9" s="226"/>
      <c r="N9" s="226"/>
      <c r="O9" s="255"/>
      <c r="P9" s="226"/>
      <c r="Q9" s="213"/>
      <c r="R9" s="226"/>
      <c r="S9" s="226"/>
      <c r="T9" s="226"/>
      <c r="U9" s="255"/>
      <c r="V9" s="226"/>
    </row>
    <row r="10" spans="1:22" ht="64.5" customHeight="1">
      <c r="A10" s="225"/>
      <c r="B10" s="73" t="s">
        <v>189</v>
      </c>
      <c r="C10" s="73" t="s">
        <v>26</v>
      </c>
      <c r="D10" s="73" t="s">
        <v>190</v>
      </c>
      <c r="E10" s="73" t="s">
        <v>26</v>
      </c>
      <c r="F10" s="89" t="s">
        <v>25</v>
      </c>
      <c r="G10" s="73" t="s">
        <v>26</v>
      </c>
      <c r="H10" s="89" t="s">
        <v>25</v>
      </c>
      <c r="I10" s="73" t="s">
        <v>26</v>
      </c>
      <c r="J10" s="89" t="s">
        <v>25</v>
      </c>
      <c r="K10" s="73" t="s">
        <v>189</v>
      </c>
      <c r="L10" s="213"/>
      <c r="M10" s="213"/>
      <c r="N10" s="213"/>
      <c r="O10" s="256"/>
      <c r="P10" s="213"/>
      <c r="Q10" s="73" t="s">
        <v>189</v>
      </c>
      <c r="R10" s="213"/>
      <c r="S10" s="213"/>
      <c r="T10" s="213"/>
      <c r="U10" s="256"/>
      <c r="V10" s="213"/>
    </row>
    <row r="11" spans="1:22">
      <c r="A11" s="250" t="s">
        <v>191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2"/>
    </row>
    <row r="12" spans="1:22" ht="54.75" customHeight="1">
      <c r="A12" s="244">
        <v>1</v>
      </c>
      <c r="B12" s="244" t="s">
        <v>192</v>
      </c>
      <c r="C12" s="90">
        <v>9.0039999999999996</v>
      </c>
      <c r="D12" s="91">
        <v>249044</v>
      </c>
      <c r="E12" s="92">
        <v>0</v>
      </c>
      <c r="F12" s="93">
        <f>E12*100/C12</f>
        <v>0</v>
      </c>
      <c r="G12" s="92">
        <f>ROUND(E12-(E12*0.1),2)+N12</f>
        <v>9.0039999999999996</v>
      </c>
      <c r="H12" s="93">
        <f>G12*100/C12</f>
        <v>100</v>
      </c>
      <c r="I12" s="89">
        <f>ROUND(G12-(G12*0.1),2)</f>
        <v>8.1</v>
      </c>
      <c r="J12" s="93">
        <f>I12*100/C12</f>
        <v>89.960017769880054</v>
      </c>
      <c r="K12" s="142" t="s">
        <v>192</v>
      </c>
      <c r="L12" s="142" t="s">
        <v>193</v>
      </c>
      <c r="M12" s="142" t="s">
        <v>26</v>
      </c>
      <c r="N12" s="142">
        <v>9.0039999999999996</v>
      </c>
      <c r="O12" s="91">
        <v>249044</v>
      </c>
      <c r="P12" s="94">
        <v>219.26300000000001</v>
      </c>
      <c r="Q12" s="143" t="s">
        <v>135</v>
      </c>
      <c r="R12" s="143" t="s">
        <v>135</v>
      </c>
      <c r="S12" s="143" t="s">
        <v>135</v>
      </c>
      <c r="T12" s="96"/>
      <c r="U12" s="96"/>
      <c r="V12" s="143" t="s">
        <v>135</v>
      </c>
    </row>
    <row r="13" spans="1:22" ht="126.75" customHeight="1">
      <c r="A13" s="245"/>
      <c r="B13" s="245"/>
      <c r="C13" s="90"/>
      <c r="D13" s="91"/>
      <c r="E13" s="92"/>
      <c r="F13" s="93"/>
      <c r="G13" s="92"/>
      <c r="H13" s="93"/>
      <c r="I13" s="92"/>
      <c r="J13" s="93"/>
      <c r="K13" s="253" t="s">
        <v>194</v>
      </c>
      <c r="L13" s="142" t="s">
        <v>395</v>
      </c>
      <c r="M13" s="142" t="s">
        <v>195</v>
      </c>
      <c r="N13" s="34">
        <v>1</v>
      </c>
      <c r="O13" s="33"/>
      <c r="P13" s="96">
        <v>0.13500000000000001</v>
      </c>
      <c r="Q13" s="143" t="s">
        <v>135</v>
      </c>
      <c r="R13" s="143" t="s">
        <v>135</v>
      </c>
      <c r="S13" s="143" t="s">
        <v>135</v>
      </c>
      <c r="T13" s="96"/>
      <c r="U13" s="96"/>
      <c r="V13" s="143" t="s">
        <v>135</v>
      </c>
    </row>
    <row r="14" spans="1:22" ht="45" customHeight="1">
      <c r="A14" s="245"/>
      <c r="B14" s="245"/>
      <c r="C14" s="90"/>
      <c r="D14" s="91"/>
      <c r="E14" s="92"/>
      <c r="F14" s="93"/>
      <c r="G14" s="92"/>
      <c r="H14" s="93"/>
      <c r="I14" s="92"/>
      <c r="J14" s="93"/>
      <c r="K14" s="253"/>
      <c r="L14" s="142" t="s">
        <v>196</v>
      </c>
      <c r="M14" s="142" t="s">
        <v>195</v>
      </c>
      <c r="N14" s="34">
        <v>1</v>
      </c>
      <c r="O14" s="33"/>
      <c r="P14" s="96">
        <v>0.13500000000000001</v>
      </c>
      <c r="Q14" s="143" t="s">
        <v>135</v>
      </c>
      <c r="R14" s="143" t="s">
        <v>135</v>
      </c>
      <c r="S14" s="143" t="s">
        <v>135</v>
      </c>
      <c r="T14" s="96"/>
      <c r="U14" s="96"/>
      <c r="V14" s="143" t="s">
        <v>135</v>
      </c>
    </row>
    <row r="15" spans="1:22" ht="156.75" customHeight="1">
      <c r="A15" s="246"/>
      <c r="B15" s="245"/>
      <c r="C15" s="90"/>
      <c r="D15" s="91"/>
      <c r="E15" s="92"/>
      <c r="F15" s="93"/>
      <c r="G15" s="92"/>
      <c r="H15" s="93"/>
      <c r="I15" s="92"/>
      <c r="J15" s="93"/>
      <c r="K15" s="253"/>
      <c r="L15" s="142" t="s">
        <v>197</v>
      </c>
      <c r="M15" s="142" t="s">
        <v>195</v>
      </c>
      <c r="N15" s="97">
        <v>6</v>
      </c>
      <c r="O15" s="33"/>
      <c r="P15" s="96">
        <v>0.39</v>
      </c>
      <c r="Q15" s="143" t="s">
        <v>135</v>
      </c>
      <c r="R15" s="143" t="s">
        <v>135</v>
      </c>
      <c r="S15" s="143" t="s">
        <v>135</v>
      </c>
      <c r="T15" s="96"/>
      <c r="U15" s="96"/>
      <c r="V15" s="143" t="s">
        <v>135</v>
      </c>
    </row>
    <row r="16" spans="1:22" ht="70.5" customHeight="1">
      <c r="A16" s="130"/>
      <c r="B16" s="245"/>
      <c r="C16" s="90"/>
      <c r="D16" s="91"/>
      <c r="E16" s="92"/>
      <c r="F16" s="93"/>
      <c r="G16" s="92"/>
      <c r="H16" s="93"/>
      <c r="I16" s="92"/>
      <c r="J16" s="93"/>
      <c r="K16" s="143" t="s">
        <v>198</v>
      </c>
      <c r="L16" s="142" t="s">
        <v>199</v>
      </c>
      <c r="M16" s="142" t="s">
        <v>195</v>
      </c>
      <c r="N16" s="34">
        <v>1</v>
      </c>
      <c r="O16" s="33"/>
      <c r="P16" s="96">
        <v>0.13500000000000001</v>
      </c>
      <c r="Q16" s="143" t="s">
        <v>135</v>
      </c>
      <c r="R16" s="143" t="s">
        <v>135</v>
      </c>
      <c r="S16" s="143" t="s">
        <v>135</v>
      </c>
      <c r="T16" s="96"/>
      <c r="U16" s="96"/>
      <c r="V16" s="143" t="s">
        <v>135</v>
      </c>
    </row>
    <row r="17" spans="1:22" ht="182.25" customHeight="1">
      <c r="A17" s="129"/>
      <c r="B17" s="245"/>
      <c r="C17" s="90"/>
      <c r="D17" s="91"/>
      <c r="E17" s="92"/>
      <c r="F17" s="93"/>
      <c r="G17" s="92"/>
      <c r="H17" s="93"/>
      <c r="I17" s="92"/>
      <c r="J17" s="93"/>
      <c r="K17" s="223" t="s">
        <v>200</v>
      </c>
      <c r="L17" s="142" t="s">
        <v>201</v>
      </c>
      <c r="M17" s="142" t="s">
        <v>195</v>
      </c>
      <c r="N17" s="34">
        <v>1</v>
      </c>
      <c r="O17" s="33"/>
      <c r="P17" s="96">
        <v>0.13500000000000001</v>
      </c>
      <c r="Q17" s="143" t="s">
        <v>135</v>
      </c>
      <c r="R17" s="143" t="s">
        <v>135</v>
      </c>
      <c r="S17" s="143" t="s">
        <v>135</v>
      </c>
      <c r="T17" s="96"/>
      <c r="U17" s="96"/>
      <c r="V17" s="143" t="s">
        <v>135</v>
      </c>
    </row>
    <row r="18" spans="1:22" ht="54.75" customHeight="1">
      <c r="A18" s="129"/>
      <c r="B18" s="245"/>
      <c r="C18" s="90"/>
      <c r="D18" s="91"/>
      <c r="E18" s="92"/>
      <c r="F18" s="93"/>
      <c r="G18" s="92"/>
      <c r="H18" s="93"/>
      <c r="I18" s="92"/>
      <c r="J18" s="93"/>
      <c r="K18" s="225"/>
      <c r="L18" s="142" t="s">
        <v>202</v>
      </c>
      <c r="M18" s="142" t="s">
        <v>195</v>
      </c>
      <c r="N18" s="97">
        <v>2</v>
      </c>
      <c r="O18" s="33"/>
      <c r="P18" s="96">
        <v>0.13</v>
      </c>
      <c r="Q18" s="143" t="s">
        <v>135</v>
      </c>
      <c r="R18" s="143" t="s">
        <v>135</v>
      </c>
      <c r="S18" s="143" t="s">
        <v>135</v>
      </c>
      <c r="T18" s="96"/>
      <c r="U18" s="96"/>
      <c r="V18" s="143" t="s">
        <v>135</v>
      </c>
    </row>
    <row r="19" spans="1:22" ht="50.25" customHeight="1">
      <c r="A19" s="129"/>
      <c r="B19" s="245"/>
      <c r="C19" s="90"/>
      <c r="D19" s="91"/>
      <c r="E19" s="92"/>
      <c r="F19" s="93"/>
      <c r="G19" s="92"/>
      <c r="H19" s="93"/>
      <c r="I19" s="92"/>
      <c r="J19" s="93"/>
      <c r="K19" s="143" t="s">
        <v>203</v>
      </c>
      <c r="L19" s="142" t="s">
        <v>202</v>
      </c>
      <c r="M19" s="142" t="s">
        <v>195</v>
      </c>
      <c r="N19" s="97">
        <v>4</v>
      </c>
      <c r="O19" s="33"/>
      <c r="P19" s="96">
        <v>0.26</v>
      </c>
      <c r="Q19" s="143" t="s">
        <v>135</v>
      </c>
      <c r="R19" s="143" t="s">
        <v>135</v>
      </c>
      <c r="S19" s="143" t="s">
        <v>135</v>
      </c>
      <c r="T19" s="96"/>
      <c r="U19" s="96"/>
      <c r="V19" s="143" t="s">
        <v>135</v>
      </c>
    </row>
    <row r="20" spans="1:22" ht="72.75" customHeight="1">
      <c r="A20" s="129"/>
      <c r="B20" s="245"/>
      <c r="C20" s="90"/>
      <c r="D20" s="91"/>
      <c r="E20" s="92"/>
      <c r="F20" s="93"/>
      <c r="G20" s="92"/>
      <c r="H20" s="93"/>
      <c r="I20" s="92"/>
      <c r="J20" s="93"/>
      <c r="K20" s="143"/>
      <c r="L20" s="142" t="s">
        <v>204</v>
      </c>
      <c r="M20" s="142" t="s">
        <v>195</v>
      </c>
      <c r="N20" s="97">
        <v>2</v>
      </c>
      <c r="O20" s="33"/>
      <c r="P20" s="96">
        <v>0.13</v>
      </c>
      <c r="Q20" s="143" t="s">
        <v>135</v>
      </c>
      <c r="R20" s="143" t="s">
        <v>135</v>
      </c>
      <c r="S20" s="143" t="s">
        <v>135</v>
      </c>
      <c r="T20" s="96"/>
      <c r="U20" s="96"/>
      <c r="V20" s="143" t="s">
        <v>135</v>
      </c>
    </row>
    <row r="21" spans="1:22" ht="72" customHeight="1">
      <c r="A21" s="130"/>
      <c r="B21" s="245"/>
      <c r="C21" s="90"/>
      <c r="D21" s="91"/>
      <c r="E21" s="92"/>
      <c r="F21" s="93"/>
      <c r="G21" s="92"/>
      <c r="H21" s="93"/>
      <c r="I21" s="92"/>
      <c r="J21" s="93"/>
      <c r="K21" s="143" t="s">
        <v>205</v>
      </c>
      <c r="L21" s="142" t="s">
        <v>204</v>
      </c>
      <c r="M21" s="142" t="s">
        <v>195</v>
      </c>
      <c r="N21" s="97">
        <v>2</v>
      </c>
      <c r="O21" s="33"/>
      <c r="P21" s="96">
        <v>0.13</v>
      </c>
      <c r="Q21" s="143" t="s">
        <v>135</v>
      </c>
      <c r="R21" s="143" t="s">
        <v>135</v>
      </c>
      <c r="S21" s="143" t="s">
        <v>135</v>
      </c>
      <c r="T21" s="96"/>
      <c r="U21" s="96"/>
      <c r="V21" s="143" t="s">
        <v>135</v>
      </c>
    </row>
    <row r="22" spans="1:22" ht="70.5" customHeight="1">
      <c r="A22" s="151"/>
      <c r="B22" s="245"/>
      <c r="C22" s="90"/>
      <c r="D22" s="91"/>
      <c r="E22" s="92"/>
      <c r="F22" s="93"/>
      <c r="G22" s="92"/>
      <c r="H22" s="93"/>
      <c r="I22" s="92"/>
      <c r="J22" s="93"/>
      <c r="K22" s="143" t="s">
        <v>206</v>
      </c>
      <c r="L22" s="142" t="s">
        <v>204</v>
      </c>
      <c r="M22" s="97" t="s">
        <v>195</v>
      </c>
      <c r="N22" s="97">
        <v>2</v>
      </c>
      <c r="O22" s="33"/>
      <c r="P22" s="96">
        <v>0.13</v>
      </c>
      <c r="Q22" s="143" t="s">
        <v>135</v>
      </c>
      <c r="R22" s="143" t="s">
        <v>135</v>
      </c>
      <c r="S22" s="143" t="s">
        <v>135</v>
      </c>
      <c r="T22" s="96"/>
      <c r="U22" s="96"/>
      <c r="V22" s="143" t="s">
        <v>135</v>
      </c>
    </row>
    <row r="23" spans="1:22" ht="76.5" customHeight="1">
      <c r="A23" s="129"/>
      <c r="B23" s="245"/>
      <c r="C23" s="90"/>
      <c r="D23" s="91"/>
      <c r="E23" s="92"/>
      <c r="F23" s="93"/>
      <c r="G23" s="92"/>
      <c r="H23" s="93"/>
      <c r="I23" s="92"/>
      <c r="J23" s="93"/>
      <c r="K23" s="143" t="s">
        <v>207</v>
      </c>
      <c r="L23" s="142" t="s">
        <v>204</v>
      </c>
      <c r="M23" s="142" t="s">
        <v>195</v>
      </c>
      <c r="N23" s="97">
        <v>2</v>
      </c>
      <c r="O23" s="33"/>
      <c r="P23" s="96">
        <v>0.13</v>
      </c>
      <c r="Q23" s="143" t="s">
        <v>135</v>
      </c>
      <c r="R23" s="143" t="s">
        <v>135</v>
      </c>
      <c r="S23" s="143" t="s">
        <v>135</v>
      </c>
      <c r="T23" s="96"/>
      <c r="U23" s="96"/>
      <c r="V23" s="143" t="s">
        <v>135</v>
      </c>
    </row>
    <row r="24" spans="1:22" ht="70.5" customHeight="1">
      <c r="A24" s="130"/>
      <c r="B24" s="246"/>
      <c r="C24" s="90"/>
      <c r="D24" s="91"/>
      <c r="E24" s="92"/>
      <c r="F24" s="93"/>
      <c r="G24" s="92"/>
      <c r="H24" s="93"/>
      <c r="I24" s="92"/>
      <c r="J24" s="93"/>
      <c r="K24" s="143" t="s">
        <v>208</v>
      </c>
      <c r="L24" s="142" t="s">
        <v>204</v>
      </c>
      <c r="M24" s="142" t="s">
        <v>195</v>
      </c>
      <c r="N24" s="97">
        <v>2</v>
      </c>
      <c r="O24" s="33"/>
      <c r="P24" s="96">
        <v>0.13</v>
      </c>
      <c r="Q24" s="143" t="s">
        <v>135</v>
      </c>
      <c r="R24" s="143" t="s">
        <v>135</v>
      </c>
      <c r="S24" s="143" t="s">
        <v>135</v>
      </c>
      <c r="T24" s="96"/>
      <c r="U24" s="96"/>
      <c r="V24" s="143" t="s">
        <v>135</v>
      </c>
    </row>
    <row r="25" spans="1:22" ht="55.5" customHeight="1">
      <c r="A25" s="212">
        <v>2</v>
      </c>
      <c r="B25" s="247" t="s">
        <v>209</v>
      </c>
      <c r="C25" s="73">
        <v>6.2350000000000003</v>
      </c>
      <c r="D25" s="91">
        <v>59235</v>
      </c>
      <c r="E25" s="92">
        <v>0</v>
      </c>
      <c r="F25" s="93">
        <f>E25*100/C25</f>
        <v>0</v>
      </c>
      <c r="G25" s="92">
        <f>ROUND(E25-(E25*0.1),2)+N25</f>
        <v>6.2350000000000003</v>
      </c>
      <c r="H25" s="93">
        <f>G25*100/C25</f>
        <v>100</v>
      </c>
      <c r="I25" s="92">
        <f>ROUND(E25-(E25*0.2),2)+N25</f>
        <v>6.2350000000000003</v>
      </c>
      <c r="J25" s="93">
        <f>I25*100/C25</f>
        <v>100</v>
      </c>
      <c r="K25" s="73" t="s">
        <v>209</v>
      </c>
      <c r="L25" s="73" t="s">
        <v>193</v>
      </c>
      <c r="M25" s="73" t="s">
        <v>26</v>
      </c>
      <c r="N25" s="96">
        <v>6.2350000000000003</v>
      </c>
      <c r="O25" s="33">
        <v>59235</v>
      </c>
      <c r="P25" s="94">
        <v>56.136000000000003</v>
      </c>
      <c r="Q25" s="95" t="s">
        <v>135</v>
      </c>
      <c r="R25" s="95" t="s">
        <v>135</v>
      </c>
      <c r="S25" s="95" t="s">
        <v>135</v>
      </c>
      <c r="T25" s="96"/>
      <c r="U25" s="96"/>
      <c r="V25" s="95" t="s">
        <v>135</v>
      </c>
    </row>
    <row r="26" spans="1:22" ht="63.75" customHeight="1">
      <c r="A26" s="213"/>
      <c r="B26" s="249"/>
      <c r="C26" s="90"/>
      <c r="D26" s="91"/>
      <c r="E26" s="92"/>
      <c r="F26" s="93"/>
      <c r="G26" s="92"/>
      <c r="H26" s="93"/>
      <c r="I26" s="92"/>
      <c r="J26" s="93"/>
      <c r="K26" s="95" t="s">
        <v>210</v>
      </c>
      <c r="L26" s="73" t="s">
        <v>211</v>
      </c>
      <c r="M26" s="73" t="s">
        <v>195</v>
      </c>
      <c r="N26" s="97">
        <v>1</v>
      </c>
      <c r="O26" s="98"/>
      <c r="P26" s="94">
        <v>0.85</v>
      </c>
      <c r="Q26" s="95" t="s">
        <v>135</v>
      </c>
      <c r="R26" s="95" t="s">
        <v>135</v>
      </c>
      <c r="S26" s="95" t="s">
        <v>135</v>
      </c>
      <c r="T26" s="97"/>
      <c r="U26" s="97"/>
      <c r="V26" s="95" t="s">
        <v>135</v>
      </c>
    </row>
    <row r="27" spans="1:22" ht="63">
      <c r="A27" s="244">
        <v>3</v>
      </c>
      <c r="B27" s="247" t="s">
        <v>212</v>
      </c>
      <c r="C27" s="73">
        <v>5.516</v>
      </c>
      <c r="D27" s="91">
        <v>56539</v>
      </c>
      <c r="E27" s="92">
        <f>C27-N27</f>
        <v>2.016</v>
      </c>
      <c r="F27" s="93">
        <f>E27*100/C27</f>
        <v>36.548223350253807</v>
      </c>
      <c r="G27" s="92">
        <f>ROUND(E27-(E27*0.08),2)+N27</f>
        <v>5.35</v>
      </c>
      <c r="H27" s="93">
        <f>G27*100/C27</f>
        <v>96.990572878897751</v>
      </c>
      <c r="I27" s="92">
        <f>ROUND(E27-(E27*0.016),2)+N27</f>
        <v>5.48</v>
      </c>
      <c r="J27" s="93">
        <f>I27*100/C27</f>
        <v>99.347353154459753</v>
      </c>
      <c r="K27" s="73" t="s">
        <v>213</v>
      </c>
      <c r="L27" s="73" t="s">
        <v>193</v>
      </c>
      <c r="M27" s="73" t="s">
        <v>26</v>
      </c>
      <c r="N27" s="96">
        <v>3.5</v>
      </c>
      <c r="O27" s="33">
        <v>56539</v>
      </c>
      <c r="P27" s="94">
        <v>65.382000000000005</v>
      </c>
      <c r="Q27" s="95" t="s">
        <v>135</v>
      </c>
      <c r="R27" s="95" t="s">
        <v>135</v>
      </c>
      <c r="S27" s="95" t="s">
        <v>135</v>
      </c>
      <c r="T27" s="96"/>
      <c r="U27" s="96"/>
      <c r="V27" s="95" t="s">
        <v>135</v>
      </c>
    </row>
    <row r="28" spans="1:22" ht="75.75" customHeight="1">
      <c r="A28" s="245"/>
      <c r="B28" s="248"/>
      <c r="C28" s="90"/>
      <c r="D28" s="91"/>
      <c r="E28" s="92"/>
      <c r="F28" s="93"/>
      <c r="G28" s="92"/>
      <c r="H28" s="93"/>
      <c r="I28" s="92"/>
      <c r="J28" s="93"/>
      <c r="K28" s="223" t="s">
        <v>214</v>
      </c>
      <c r="L28" s="73" t="s">
        <v>215</v>
      </c>
      <c r="M28" s="73" t="s">
        <v>195</v>
      </c>
      <c r="N28" s="34">
        <v>1</v>
      </c>
      <c r="O28" s="33"/>
      <c r="P28" s="94">
        <v>0.33600000000000002</v>
      </c>
      <c r="Q28" s="95" t="s">
        <v>135</v>
      </c>
      <c r="R28" s="95" t="s">
        <v>135</v>
      </c>
      <c r="S28" s="95" t="s">
        <v>135</v>
      </c>
      <c r="T28" s="96"/>
      <c r="U28" s="96"/>
      <c r="V28" s="95" t="s">
        <v>135</v>
      </c>
    </row>
    <row r="29" spans="1:22" ht="110.25" customHeight="1">
      <c r="A29" s="246"/>
      <c r="B29" s="249"/>
      <c r="C29" s="90"/>
      <c r="D29" s="91"/>
      <c r="E29" s="92"/>
      <c r="F29" s="93"/>
      <c r="G29" s="92"/>
      <c r="H29" s="93"/>
      <c r="I29" s="92"/>
      <c r="J29" s="93"/>
      <c r="K29" s="225"/>
      <c r="L29" s="73" t="s">
        <v>216</v>
      </c>
      <c r="M29" s="73" t="s">
        <v>195</v>
      </c>
      <c r="N29" s="97">
        <v>2</v>
      </c>
      <c r="O29" s="33"/>
      <c r="P29" s="94">
        <v>0.13</v>
      </c>
      <c r="Q29" s="95" t="s">
        <v>135</v>
      </c>
      <c r="R29" s="95" t="s">
        <v>135</v>
      </c>
      <c r="S29" s="95" t="s">
        <v>135</v>
      </c>
      <c r="T29" s="96"/>
      <c r="U29" s="96"/>
      <c r="V29" s="95" t="s">
        <v>135</v>
      </c>
    </row>
    <row r="30" spans="1:22" ht="52.5" customHeight="1">
      <c r="A30" s="73">
        <v>4</v>
      </c>
      <c r="B30" s="247" t="s">
        <v>217</v>
      </c>
      <c r="C30" s="73">
        <v>7.94</v>
      </c>
      <c r="D30" s="91">
        <v>112842</v>
      </c>
      <c r="E30" s="92">
        <v>0</v>
      </c>
      <c r="F30" s="93">
        <f>E30*100/C30</f>
        <v>0</v>
      </c>
      <c r="G30" s="92">
        <f>ROUND(E30-(E30*0.1),2)+N30</f>
        <v>6.57</v>
      </c>
      <c r="H30" s="93">
        <f>G30*100/C30</f>
        <v>82.7455919395466</v>
      </c>
      <c r="I30" s="89">
        <f>ROUND(G30-(G30*0.1),2)</f>
        <v>5.91</v>
      </c>
      <c r="J30" s="93">
        <f>I30*100/C30</f>
        <v>74.433249370277068</v>
      </c>
      <c r="K30" s="73" t="s">
        <v>217</v>
      </c>
      <c r="L30" s="73" t="s">
        <v>193</v>
      </c>
      <c r="M30" s="73" t="s">
        <v>26</v>
      </c>
      <c r="N30" s="96">
        <v>6.57</v>
      </c>
      <c r="O30" s="33">
        <v>93662</v>
      </c>
      <c r="P30" s="94">
        <v>72.385999999999996</v>
      </c>
      <c r="Q30" s="95" t="s">
        <v>135</v>
      </c>
      <c r="R30" s="95" t="s">
        <v>135</v>
      </c>
      <c r="S30" s="95" t="s">
        <v>135</v>
      </c>
      <c r="T30" s="96"/>
      <c r="U30" s="96"/>
      <c r="V30" s="95" t="s">
        <v>135</v>
      </c>
    </row>
    <row r="31" spans="1:22" ht="188.25" customHeight="1">
      <c r="A31" s="130"/>
      <c r="B31" s="248"/>
      <c r="C31" s="90"/>
      <c r="D31" s="91"/>
      <c r="E31" s="92"/>
      <c r="F31" s="93"/>
      <c r="G31" s="92"/>
      <c r="H31" s="93"/>
      <c r="I31" s="92"/>
      <c r="J31" s="93"/>
      <c r="K31" s="95" t="s">
        <v>218</v>
      </c>
      <c r="L31" s="73" t="s">
        <v>219</v>
      </c>
      <c r="M31" s="73" t="s">
        <v>195</v>
      </c>
      <c r="N31" s="34">
        <v>1</v>
      </c>
      <c r="O31" s="33"/>
      <c r="P31" s="94">
        <v>0.33600000000000002</v>
      </c>
      <c r="Q31" s="95" t="s">
        <v>135</v>
      </c>
      <c r="R31" s="95" t="s">
        <v>135</v>
      </c>
      <c r="S31" s="95" t="s">
        <v>135</v>
      </c>
      <c r="T31" s="96"/>
      <c r="U31" s="96"/>
      <c r="V31" s="95" t="s">
        <v>135</v>
      </c>
    </row>
    <row r="32" spans="1:22" ht="153" customHeight="1">
      <c r="A32" s="90"/>
      <c r="B32" s="249"/>
      <c r="C32" s="90"/>
      <c r="D32" s="91"/>
      <c r="E32" s="92"/>
      <c r="F32" s="93"/>
      <c r="G32" s="92"/>
      <c r="H32" s="93"/>
      <c r="I32" s="92"/>
      <c r="J32" s="93"/>
      <c r="K32" s="73" t="s">
        <v>220</v>
      </c>
      <c r="L32" s="73" t="s">
        <v>221</v>
      </c>
      <c r="M32" s="73" t="s">
        <v>26</v>
      </c>
      <c r="N32" s="96">
        <v>0.4</v>
      </c>
      <c r="O32" s="33"/>
      <c r="P32" s="94">
        <v>0.88639999999999997</v>
      </c>
      <c r="Q32" s="95" t="s">
        <v>135</v>
      </c>
      <c r="R32" s="95" t="s">
        <v>135</v>
      </c>
      <c r="S32" s="95" t="s">
        <v>135</v>
      </c>
      <c r="T32" s="96"/>
      <c r="U32" s="96"/>
      <c r="V32" s="95" t="s">
        <v>135</v>
      </c>
    </row>
    <row r="33" spans="1:22" ht="69.75" customHeight="1">
      <c r="A33" s="212">
        <v>5</v>
      </c>
      <c r="B33" s="247" t="s">
        <v>222</v>
      </c>
      <c r="C33" s="73">
        <v>4.6849999999999996</v>
      </c>
      <c r="D33" s="91">
        <v>52490</v>
      </c>
      <c r="E33" s="92">
        <f>C33-N33</f>
        <v>1.0649999999999995</v>
      </c>
      <c r="F33" s="93">
        <f>E33*100/C33</f>
        <v>22.732123799359648</v>
      </c>
      <c r="G33" s="92">
        <f>ROUND(E33-(E33*0.08),2)+N33</f>
        <v>4.5999999999999996</v>
      </c>
      <c r="H33" s="93">
        <f>G33*100/C33</f>
        <v>98.185699039487716</v>
      </c>
      <c r="I33" s="92">
        <f>ROUND(E33-(E33*0.016),2)+N33</f>
        <v>4.67</v>
      </c>
      <c r="J33" s="93">
        <f>I33*100/C33</f>
        <v>99.679829242262542</v>
      </c>
      <c r="K33" s="73" t="s">
        <v>213</v>
      </c>
      <c r="L33" s="73" t="s">
        <v>193</v>
      </c>
      <c r="M33" s="73" t="s">
        <v>26</v>
      </c>
      <c r="N33" s="96">
        <v>3.62</v>
      </c>
      <c r="O33" s="33">
        <v>48140</v>
      </c>
      <c r="P33" s="94">
        <v>42.44</v>
      </c>
      <c r="Q33" s="95" t="s">
        <v>135</v>
      </c>
      <c r="R33" s="95" t="s">
        <v>135</v>
      </c>
      <c r="S33" s="95" t="s">
        <v>135</v>
      </c>
      <c r="T33" s="96"/>
      <c r="U33" s="96"/>
      <c r="V33" s="95" t="s">
        <v>135</v>
      </c>
    </row>
    <row r="34" spans="1:22" ht="124.5" customHeight="1">
      <c r="A34" s="226"/>
      <c r="B34" s="248"/>
      <c r="C34" s="90"/>
      <c r="D34" s="91"/>
      <c r="E34" s="92"/>
      <c r="F34" s="93"/>
      <c r="G34" s="92"/>
      <c r="H34" s="93"/>
      <c r="I34" s="92"/>
      <c r="J34" s="93"/>
      <c r="K34" s="223" t="s">
        <v>223</v>
      </c>
      <c r="L34" s="73" t="s">
        <v>224</v>
      </c>
      <c r="M34" s="73" t="s">
        <v>195</v>
      </c>
      <c r="N34" s="34">
        <v>1</v>
      </c>
      <c r="O34" s="98"/>
      <c r="P34" s="94">
        <v>0.33600000000000002</v>
      </c>
      <c r="Q34" s="95" t="s">
        <v>135</v>
      </c>
      <c r="R34" s="95" t="s">
        <v>135</v>
      </c>
      <c r="S34" s="95" t="s">
        <v>135</v>
      </c>
      <c r="T34" s="94"/>
      <c r="U34" s="94"/>
      <c r="V34" s="95" t="s">
        <v>135</v>
      </c>
    </row>
    <row r="35" spans="1:22" ht="102.75" customHeight="1">
      <c r="A35" s="213"/>
      <c r="B35" s="249"/>
      <c r="C35" s="90"/>
      <c r="D35" s="91"/>
      <c r="E35" s="92"/>
      <c r="F35" s="93"/>
      <c r="G35" s="92"/>
      <c r="H35" s="93"/>
      <c r="I35" s="92"/>
      <c r="J35" s="93"/>
      <c r="K35" s="225"/>
      <c r="L35" s="73" t="s">
        <v>216</v>
      </c>
      <c r="M35" s="97" t="s">
        <v>195</v>
      </c>
      <c r="N35" s="97">
        <v>2</v>
      </c>
      <c r="O35" s="98"/>
      <c r="P35" s="94">
        <v>0.13</v>
      </c>
      <c r="Q35" s="95" t="s">
        <v>135</v>
      </c>
      <c r="R35" s="95" t="s">
        <v>135</v>
      </c>
      <c r="S35" s="95" t="s">
        <v>135</v>
      </c>
      <c r="T35" s="94"/>
      <c r="U35" s="94"/>
      <c r="V35" s="95" t="s">
        <v>135</v>
      </c>
    </row>
    <row r="36" spans="1:22" ht="78.75">
      <c r="A36" s="260">
        <v>6</v>
      </c>
      <c r="B36" s="247" t="s">
        <v>225</v>
      </c>
      <c r="C36" s="73">
        <v>3.2679999999999998</v>
      </c>
      <c r="D36" s="91">
        <v>73530</v>
      </c>
      <c r="E36" s="92">
        <f>C36-N36</f>
        <v>0.46799999999999997</v>
      </c>
      <c r="F36" s="93">
        <f>E36*100/C36</f>
        <v>14.320685434516523</v>
      </c>
      <c r="G36" s="92">
        <f>ROUND(E36-(E36*0.08),2)+N36</f>
        <v>3.23</v>
      </c>
      <c r="H36" s="93">
        <f>G36*100/C36</f>
        <v>98.83720930232559</v>
      </c>
      <c r="I36" s="92">
        <f>ROUND(E36-(E36*0.016),2)+N36</f>
        <v>3.26</v>
      </c>
      <c r="J36" s="93">
        <f>I36*100/C36</f>
        <v>99.755201958384333</v>
      </c>
      <c r="K36" s="73" t="s">
        <v>226</v>
      </c>
      <c r="L36" s="73" t="s">
        <v>193</v>
      </c>
      <c r="M36" s="73" t="s">
        <v>26</v>
      </c>
      <c r="N36" s="96">
        <v>2.8</v>
      </c>
      <c r="O36" s="33">
        <v>39200</v>
      </c>
      <c r="P36" s="94">
        <v>34.927</v>
      </c>
      <c r="Q36" s="95" t="s">
        <v>135</v>
      </c>
      <c r="R36" s="95" t="s">
        <v>135</v>
      </c>
      <c r="S36" s="95" t="s">
        <v>135</v>
      </c>
      <c r="T36" s="96"/>
      <c r="U36" s="96"/>
      <c r="V36" s="95" t="s">
        <v>135</v>
      </c>
    </row>
    <row r="37" spans="1:22" ht="132.75" customHeight="1">
      <c r="A37" s="260"/>
      <c r="B37" s="248"/>
      <c r="C37" s="90"/>
      <c r="D37" s="91"/>
      <c r="E37" s="92"/>
      <c r="F37" s="93"/>
      <c r="G37" s="92"/>
      <c r="H37" s="93"/>
      <c r="I37" s="92"/>
      <c r="J37" s="93"/>
      <c r="K37" s="95" t="s">
        <v>227</v>
      </c>
      <c r="L37" s="73" t="s">
        <v>224</v>
      </c>
      <c r="M37" s="73" t="s">
        <v>195</v>
      </c>
      <c r="N37" s="34">
        <v>1</v>
      </c>
      <c r="O37" s="98"/>
      <c r="P37" s="96">
        <v>0.13500000000000001</v>
      </c>
      <c r="Q37" s="95" t="s">
        <v>135</v>
      </c>
      <c r="R37" s="95" t="s">
        <v>135</v>
      </c>
      <c r="S37" s="95" t="s">
        <v>135</v>
      </c>
      <c r="T37" s="94"/>
      <c r="U37" s="94"/>
      <c r="V37" s="95" t="s">
        <v>135</v>
      </c>
    </row>
    <row r="38" spans="1:22" ht="90" customHeight="1">
      <c r="A38" s="130"/>
      <c r="B38" s="249"/>
      <c r="C38" s="90"/>
      <c r="D38" s="91"/>
      <c r="E38" s="92"/>
      <c r="F38" s="93"/>
      <c r="G38" s="92"/>
      <c r="H38" s="93"/>
      <c r="I38" s="92"/>
      <c r="J38" s="93"/>
      <c r="K38" s="134"/>
      <c r="L38" s="72" t="s">
        <v>216</v>
      </c>
      <c r="M38" s="72" t="s">
        <v>195</v>
      </c>
      <c r="N38" s="137">
        <v>2</v>
      </c>
      <c r="O38" s="138"/>
      <c r="P38" s="139">
        <v>0.13</v>
      </c>
      <c r="Q38" s="95" t="s">
        <v>135</v>
      </c>
      <c r="R38" s="95" t="s">
        <v>135</v>
      </c>
      <c r="S38" s="95" t="s">
        <v>135</v>
      </c>
      <c r="T38" s="94"/>
      <c r="U38" s="94"/>
      <c r="V38" s="95" t="s">
        <v>135</v>
      </c>
    </row>
    <row r="39" spans="1:22" ht="50.25" customHeight="1">
      <c r="A39" s="73">
        <v>7</v>
      </c>
      <c r="B39" s="99" t="s">
        <v>228</v>
      </c>
      <c r="C39" s="73">
        <v>4.4539999999999997</v>
      </c>
      <c r="D39" s="91">
        <v>89462</v>
      </c>
      <c r="E39" s="96">
        <f>C39-N39</f>
        <v>0.10099999999999998</v>
      </c>
      <c r="F39" s="34">
        <f>E39*100/C39</f>
        <v>2.2676246070947461</v>
      </c>
      <c r="G39" s="92">
        <f>ROUND(E39-(E39*0.08),2)+N39</f>
        <v>4.4429999999999996</v>
      </c>
      <c r="H39" s="93">
        <f>G39*100/C39</f>
        <v>99.753030983385713</v>
      </c>
      <c r="I39" s="92">
        <f>ROUND(E39-(E39*0.016),2)+N39</f>
        <v>4.4529999999999994</v>
      </c>
      <c r="J39" s="93">
        <f>I39*100/C39</f>
        <v>99.977548271216875</v>
      </c>
      <c r="K39" s="73" t="s">
        <v>229</v>
      </c>
      <c r="L39" s="73" t="s">
        <v>193</v>
      </c>
      <c r="M39" s="73" t="s">
        <v>26</v>
      </c>
      <c r="N39" s="73">
        <v>4.3529999999999998</v>
      </c>
      <c r="O39" s="91">
        <v>89462</v>
      </c>
      <c r="P39" s="94">
        <v>76.537000000000006</v>
      </c>
      <c r="Q39" s="95" t="s">
        <v>135</v>
      </c>
      <c r="R39" s="95" t="s">
        <v>135</v>
      </c>
      <c r="S39" s="95" t="s">
        <v>135</v>
      </c>
      <c r="T39" s="96"/>
      <c r="U39" s="96"/>
      <c r="V39" s="95" t="s">
        <v>135</v>
      </c>
    </row>
    <row r="40" spans="1:22" ht="45" customHeight="1">
      <c r="A40" s="73">
        <v>8</v>
      </c>
      <c r="B40" s="99" t="s">
        <v>230</v>
      </c>
      <c r="C40" s="73">
        <v>2.923</v>
      </c>
      <c r="D40" s="91">
        <v>44950</v>
      </c>
      <c r="E40" s="96">
        <f>C40-N40</f>
        <v>0</v>
      </c>
      <c r="F40" s="34">
        <f>E40*100/C40</f>
        <v>0</v>
      </c>
      <c r="G40" s="89">
        <f>ROUND(E40-(E40*0.1),2)+N40</f>
        <v>2.923</v>
      </c>
      <c r="H40" s="34">
        <f>G40*100/C40</f>
        <v>100</v>
      </c>
      <c r="I40" s="89">
        <f>ROUND(E40-(E40*0.2),2)+N40</f>
        <v>2.923</v>
      </c>
      <c r="J40" s="34">
        <f>I40*100/C40</f>
        <v>100</v>
      </c>
      <c r="K40" s="73" t="s">
        <v>230</v>
      </c>
      <c r="L40" s="73" t="s">
        <v>193</v>
      </c>
      <c r="M40" s="73" t="s">
        <v>26</v>
      </c>
      <c r="N40" s="152">
        <v>2.923</v>
      </c>
      <c r="O40" s="33">
        <v>44950</v>
      </c>
      <c r="P40" s="94">
        <v>21.024000000000001</v>
      </c>
      <c r="Q40" s="95" t="s">
        <v>135</v>
      </c>
      <c r="R40" s="95" t="s">
        <v>135</v>
      </c>
      <c r="S40" s="95" t="s">
        <v>135</v>
      </c>
      <c r="T40" s="100"/>
      <c r="U40" s="100"/>
      <c r="V40" s="95" t="s">
        <v>135</v>
      </c>
    </row>
    <row r="41" spans="1:22" ht="40.5" customHeight="1">
      <c r="A41" s="212">
        <v>9</v>
      </c>
      <c r="B41" s="247" t="s">
        <v>231</v>
      </c>
      <c r="C41" s="90">
        <v>2.6629999999999998</v>
      </c>
      <c r="D41" s="91">
        <v>81025</v>
      </c>
      <c r="E41" s="92">
        <f>C41-N41</f>
        <v>0</v>
      </c>
      <c r="F41" s="93">
        <f>E41*100/C41</f>
        <v>0</v>
      </c>
      <c r="G41" s="92">
        <f>ROUND(E41-(E41*0.1),2)+N41</f>
        <v>2.6629999999999998</v>
      </c>
      <c r="H41" s="93">
        <f>G41*100/C41</f>
        <v>99.999999999999986</v>
      </c>
      <c r="I41" s="92">
        <f>ROUND(E41-(E41*0.2),2)+N41</f>
        <v>2.6629999999999998</v>
      </c>
      <c r="J41" s="93">
        <f>I41*100/C41</f>
        <v>99.999999999999986</v>
      </c>
      <c r="K41" s="73" t="s">
        <v>231</v>
      </c>
      <c r="L41" s="73" t="s">
        <v>193</v>
      </c>
      <c r="M41" s="73" t="s">
        <v>26</v>
      </c>
      <c r="N41" s="73">
        <v>2.6629999999999998</v>
      </c>
      <c r="O41" s="91">
        <v>81025</v>
      </c>
      <c r="P41" s="94">
        <v>68.911000000000001</v>
      </c>
      <c r="Q41" s="95" t="s">
        <v>135</v>
      </c>
      <c r="R41" s="95" t="s">
        <v>135</v>
      </c>
      <c r="S41" s="95" t="s">
        <v>135</v>
      </c>
      <c r="T41" s="96"/>
      <c r="U41" s="96"/>
      <c r="V41" s="95" t="s">
        <v>135</v>
      </c>
    </row>
    <row r="42" spans="1:22" ht="69.75" customHeight="1">
      <c r="A42" s="213"/>
      <c r="B42" s="249"/>
      <c r="C42" s="90"/>
      <c r="D42" s="91"/>
      <c r="E42" s="92"/>
      <c r="F42" s="93"/>
      <c r="G42" s="92"/>
      <c r="H42" s="93"/>
      <c r="I42" s="92"/>
      <c r="J42" s="93"/>
      <c r="K42" s="95" t="s">
        <v>232</v>
      </c>
      <c r="L42" s="73" t="s">
        <v>233</v>
      </c>
      <c r="M42" s="73" t="s">
        <v>195</v>
      </c>
      <c r="N42" s="97">
        <v>2</v>
      </c>
      <c r="O42" s="33"/>
      <c r="P42" s="94">
        <v>0.13</v>
      </c>
      <c r="Q42" s="95" t="s">
        <v>135</v>
      </c>
      <c r="R42" s="95" t="s">
        <v>135</v>
      </c>
      <c r="S42" s="95" t="s">
        <v>135</v>
      </c>
      <c r="T42" s="96"/>
      <c r="U42" s="96"/>
      <c r="V42" s="95" t="s">
        <v>135</v>
      </c>
    </row>
    <row r="43" spans="1:22" ht="99" customHeight="1">
      <c r="A43" s="73">
        <v>10</v>
      </c>
      <c r="B43" s="99" t="s">
        <v>234</v>
      </c>
      <c r="C43" s="73">
        <v>2.6259999999999999</v>
      </c>
      <c r="D43" s="91">
        <v>36764</v>
      </c>
      <c r="E43" s="92">
        <f>C43-N43</f>
        <v>0</v>
      </c>
      <c r="F43" s="34">
        <f>E43*100/C43</f>
        <v>0</v>
      </c>
      <c r="G43" s="89">
        <f>ROUND(E43-(E43*0.1),2)+N43</f>
        <v>2.6259999999999999</v>
      </c>
      <c r="H43" s="34">
        <f>G43*100/C43</f>
        <v>99.999999999999986</v>
      </c>
      <c r="I43" s="89">
        <f>ROUND(E43-(E43*0.2),2)+N43</f>
        <v>2.6259999999999999</v>
      </c>
      <c r="J43" s="34">
        <f>I43*100/C43</f>
        <v>99.999999999999986</v>
      </c>
      <c r="K43" s="73" t="s">
        <v>234</v>
      </c>
      <c r="L43" s="73" t="s">
        <v>193</v>
      </c>
      <c r="M43" s="73" t="s">
        <v>26</v>
      </c>
      <c r="N43" s="96">
        <v>2.6259999999999999</v>
      </c>
      <c r="O43" s="33">
        <v>36764</v>
      </c>
      <c r="P43" s="94">
        <v>29.952000000000002</v>
      </c>
      <c r="Q43" s="95" t="s">
        <v>135</v>
      </c>
      <c r="R43" s="95" t="s">
        <v>135</v>
      </c>
      <c r="S43" s="95" t="s">
        <v>135</v>
      </c>
      <c r="T43" s="96"/>
      <c r="U43" s="96"/>
      <c r="V43" s="95" t="s">
        <v>135</v>
      </c>
    </row>
    <row r="44" spans="1:22" ht="36" customHeight="1">
      <c r="A44" s="73">
        <v>11</v>
      </c>
      <c r="B44" s="99" t="s">
        <v>235</v>
      </c>
      <c r="C44" s="96">
        <v>2.387</v>
      </c>
      <c r="D44" s="34">
        <v>26853</v>
      </c>
      <c r="E44" s="96">
        <v>0</v>
      </c>
      <c r="F44" s="34">
        <f>E44*100/C44</f>
        <v>0</v>
      </c>
      <c r="G44" s="89">
        <f>ROUND(E44-(E44*0.1),2)+N44</f>
        <v>2.387</v>
      </c>
      <c r="H44" s="34">
        <f>G44*100/C44</f>
        <v>100</v>
      </c>
      <c r="I44" s="89">
        <f>ROUND(E44-(E44*0.2),2)+N44</f>
        <v>2.387</v>
      </c>
      <c r="J44" s="34">
        <f>I44*100/C44</f>
        <v>100</v>
      </c>
      <c r="K44" s="73" t="s">
        <v>236</v>
      </c>
      <c r="L44" s="73" t="s">
        <v>193</v>
      </c>
      <c r="M44" s="73" t="s">
        <v>26</v>
      </c>
      <c r="N44" s="96">
        <v>2.387</v>
      </c>
      <c r="O44" s="34">
        <v>26853</v>
      </c>
      <c r="P44" s="95">
        <v>23.9</v>
      </c>
      <c r="Q44" s="73" t="s">
        <v>135</v>
      </c>
      <c r="R44" s="73" t="s">
        <v>135</v>
      </c>
      <c r="S44" s="96" t="s">
        <v>135</v>
      </c>
      <c r="T44" s="96"/>
      <c r="U44" s="96"/>
      <c r="V44" s="95" t="s">
        <v>135</v>
      </c>
    </row>
    <row r="45" spans="1:22" ht="36" customHeight="1">
      <c r="A45" s="73">
        <v>12</v>
      </c>
      <c r="B45" s="99" t="s">
        <v>237</v>
      </c>
      <c r="C45" s="96">
        <v>2.488</v>
      </c>
      <c r="D45" s="34">
        <v>43893</v>
      </c>
      <c r="E45" s="96">
        <f t="shared" ref="E45:E53" si="0">C45-N45</f>
        <v>0</v>
      </c>
      <c r="F45" s="34">
        <f>E45*100/C45</f>
        <v>0</v>
      </c>
      <c r="G45" s="96">
        <f>ROUND(E45-(E45*0.1),2)+N45</f>
        <v>2.488</v>
      </c>
      <c r="H45" s="34">
        <f>G45*100/C45</f>
        <v>100</v>
      </c>
      <c r="I45" s="89">
        <f>ROUND(G45-(G45*0.1),2)</f>
        <v>2.2400000000000002</v>
      </c>
      <c r="J45" s="34">
        <f>I45*100/C45</f>
        <v>90.03215434083603</v>
      </c>
      <c r="K45" s="73" t="s">
        <v>237</v>
      </c>
      <c r="L45" s="73" t="s">
        <v>193</v>
      </c>
      <c r="M45" s="73" t="s">
        <v>26</v>
      </c>
      <c r="N45" s="96">
        <v>2.488</v>
      </c>
      <c r="O45" s="101">
        <v>43893</v>
      </c>
      <c r="P45" s="94">
        <v>37.951000000000001</v>
      </c>
      <c r="Q45" s="95" t="s">
        <v>135</v>
      </c>
      <c r="R45" s="95" t="s">
        <v>135</v>
      </c>
      <c r="S45" s="95" t="s">
        <v>135</v>
      </c>
      <c r="T45" s="96"/>
      <c r="U45" s="96"/>
      <c r="V45" s="95" t="s">
        <v>135</v>
      </c>
    </row>
    <row r="46" spans="1:22" ht="38.25" customHeight="1">
      <c r="A46" s="73">
        <v>13</v>
      </c>
      <c r="B46" s="99" t="s">
        <v>238</v>
      </c>
      <c r="C46" s="73">
        <v>8.3699999999999992</v>
      </c>
      <c r="D46" s="91">
        <v>148567</v>
      </c>
      <c r="E46" s="92">
        <f t="shared" si="0"/>
        <v>0</v>
      </c>
      <c r="F46" s="34">
        <f t="shared" ref="F46:F53" si="1">E46*100/C46</f>
        <v>0</v>
      </c>
      <c r="G46" s="89">
        <f>ROUND(E46-(E46*0.1),2)+N46</f>
        <v>8.3699999999999992</v>
      </c>
      <c r="H46" s="34">
        <f t="shared" ref="H46:H53" si="2">G46*100/C46</f>
        <v>100</v>
      </c>
      <c r="I46" s="89">
        <f>ROUND(E46-(E46*0.2),2)+N46</f>
        <v>8.3699999999999992</v>
      </c>
      <c r="J46" s="34">
        <f t="shared" ref="J46:J53" si="3">I46*100/C46</f>
        <v>100</v>
      </c>
      <c r="K46" s="73" t="s">
        <v>238</v>
      </c>
      <c r="L46" s="73" t="s">
        <v>193</v>
      </c>
      <c r="M46" s="73" t="s">
        <v>26</v>
      </c>
      <c r="N46" s="96">
        <v>8.3699999999999992</v>
      </c>
      <c r="O46" s="33">
        <v>164467</v>
      </c>
      <c r="P46" s="94">
        <v>146.97399999999999</v>
      </c>
      <c r="Q46" s="95" t="s">
        <v>135</v>
      </c>
      <c r="R46" s="95" t="s">
        <v>135</v>
      </c>
      <c r="S46" s="95" t="s">
        <v>135</v>
      </c>
      <c r="T46" s="96"/>
      <c r="U46" s="96"/>
      <c r="V46" s="95" t="s">
        <v>135</v>
      </c>
    </row>
    <row r="47" spans="1:22" ht="37.5" customHeight="1">
      <c r="A47" s="73">
        <v>14</v>
      </c>
      <c r="B47" s="99" t="s">
        <v>239</v>
      </c>
      <c r="C47" s="96">
        <v>3.5449999999999999</v>
      </c>
      <c r="D47" s="34">
        <v>28360</v>
      </c>
      <c r="E47" s="96">
        <f t="shared" si="0"/>
        <v>1.9239999999999999</v>
      </c>
      <c r="F47" s="34">
        <f t="shared" si="1"/>
        <v>54.27362482369535</v>
      </c>
      <c r="G47" s="92">
        <f>ROUND(E47-(E47*0.08),2)+N47</f>
        <v>3.391</v>
      </c>
      <c r="H47" s="93">
        <f>G47*100/C47</f>
        <v>95.655853314527505</v>
      </c>
      <c r="I47" s="92">
        <f>ROUND(E47-(E47*0.016),2)+N47</f>
        <v>3.5110000000000001</v>
      </c>
      <c r="J47" s="93">
        <f>I47*100/C47</f>
        <v>99.040902679830751</v>
      </c>
      <c r="K47" s="73" t="s">
        <v>240</v>
      </c>
      <c r="L47" s="73" t="s">
        <v>193</v>
      </c>
      <c r="M47" s="73" t="s">
        <v>26</v>
      </c>
      <c r="N47" s="96">
        <v>1.621</v>
      </c>
      <c r="O47" s="33">
        <v>28460</v>
      </c>
      <c r="P47" s="94">
        <v>10.396000000000001</v>
      </c>
      <c r="Q47" s="95" t="s">
        <v>135</v>
      </c>
      <c r="R47" s="95" t="s">
        <v>135</v>
      </c>
      <c r="S47" s="95" t="s">
        <v>135</v>
      </c>
      <c r="T47" s="96"/>
      <c r="U47" s="96"/>
      <c r="V47" s="95" t="s">
        <v>135</v>
      </c>
    </row>
    <row r="48" spans="1:22" ht="62.25" customHeight="1">
      <c r="A48" s="73">
        <v>15</v>
      </c>
      <c r="B48" s="99" t="s">
        <v>241</v>
      </c>
      <c r="C48" s="96">
        <v>1.98</v>
      </c>
      <c r="D48" s="102">
        <v>28074</v>
      </c>
      <c r="E48" s="96">
        <f t="shared" si="0"/>
        <v>0</v>
      </c>
      <c r="F48" s="34">
        <f t="shared" si="1"/>
        <v>0</v>
      </c>
      <c r="G48" s="89">
        <f>ROUND(E48-(E48*0.1),2)+N48</f>
        <v>1.98</v>
      </c>
      <c r="H48" s="34">
        <f t="shared" si="2"/>
        <v>100</v>
      </c>
      <c r="I48" s="89">
        <f>ROUND(E48-(E48*0.2),2)+N48</f>
        <v>1.98</v>
      </c>
      <c r="J48" s="34">
        <f t="shared" si="3"/>
        <v>100</v>
      </c>
      <c r="K48" s="73" t="s">
        <v>242</v>
      </c>
      <c r="L48" s="73" t="s">
        <v>193</v>
      </c>
      <c r="M48" s="73" t="s">
        <v>26</v>
      </c>
      <c r="N48" s="96">
        <v>1.98</v>
      </c>
      <c r="O48" s="102">
        <v>28074</v>
      </c>
      <c r="P48" s="94">
        <v>25.567</v>
      </c>
      <c r="Q48" s="95" t="s">
        <v>135</v>
      </c>
      <c r="R48" s="95" t="s">
        <v>135</v>
      </c>
      <c r="S48" s="95" t="s">
        <v>135</v>
      </c>
      <c r="T48" s="96"/>
      <c r="U48" s="96"/>
      <c r="V48" s="95" t="s">
        <v>135</v>
      </c>
    </row>
    <row r="49" spans="1:22" ht="63">
      <c r="A49" s="73">
        <v>16</v>
      </c>
      <c r="B49" s="99" t="s">
        <v>243</v>
      </c>
      <c r="C49" s="96">
        <v>1.194</v>
      </c>
      <c r="D49" s="96">
        <v>7761</v>
      </c>
      <c r="E49" s="96">
        <f t="shared" si="0"/>
        <v>0.56799999999999995</v>
      </c>
      <c r="F49" s="34">
        <f t="shared" si="1"/>
        <v>47.571189279731996</v>
      </c>
      <c r="G49" s="92">
        <f>ROUND(E49-(E49*0.08),2)+N49</f>
        <v>1.1459999999999999</v>
      </c>
      <c r="H49" s="93">
        <f>G49*100/C49</f>
        <v>95.979899497487438</v>
      </c>
      <c r="I49" s="92">
        <f>ROUND(E49-(E49*0.016),2)+N49</f>
        <v>1.1859999999999999</v>
      </c>
      <c r="J49" s="93">
        <f>I49*100/C49</f>
        <v>99.329983249581232</v>
      </c>
      <c r="K49" s="73" t="s">
        <v>244</v>
      </c>
      <c r="L49" s="73" t="s">
        <v>193</v>
      </c>
      <c r="M49" s="73" t="s">
        <v>26</v>
      </c>
      <c r="N49" s="96">
        <v>0.626</v>
      </c>
      <c r="O49" s="33">
        <v>6030</v>
      </c>
      <c r="P49" s="94">
        <v>5.2140000000000004</v>
      </c>
      <c r="Q49" s="95" t="s">
        <v>135</v>
      </c>
      <c r="R49" s="95" t="s">
        <v>135</v>
      </c>
      <c r="S49" s="95" t="s">
        <v>135</v>
      </c>
      <c r="T49" s="96"/>
      <c r="U49" s="96"/>
      <c r="V49" s="95" t="s">
        <v>135</v>
      </c>
    </row>
    <row r="50" spans="1:22" ht="36.75" customHeight="1">
      <c r="A50" s="73">
        <v>17</v>
      </c>
      <c r="B50" s="99" t="s">
        <v>245</v>
      </c>
      <c r="C50" s="96">
        <v>2.1509999999999998</v>
      </c>
      <c r="D50" s="96">
        <v>15057</v>
      </c>
      <c r="E50" s="96">
        <f t="shared" si="0"/>
        <v>0.2889999999999997</v>
      </c>
      <c r="F50" s="34">
        <f t="shared" si="1"/>
        <v>13.435611343561122</v>
      </c>
      <c r="G50" s="92">
        <f>ROUND(E50-(E50*0.08),2)+N50</f>
        <v>2.1320000000000001</v>
      </c>
      <c r="H50" s="93">
        <f>G50*100/C50</f>
        <v>99.116689911669013</v>
      </c>
      <c r="I50" s="92">
        <f>ROUND(E50-(E50*0.016),2)+N50</f>
        <v>2.1420000000000003</v>
      </c>
      <c r="J50" s="93">
        <f>I50*100/C50</f>
        <v>99.581589958159029</v>
      </c>
      <c r="K50" s="73" t="s">
        <v>246</v>
      </c>
      <c r="L50" s="73" t="s">
        <v>193</v>
      </c>
      <c r="M50" s="73" t="s">
        <v>26</v>
      </c>
      <c r="N50" s="96">
        <v>1.8620000000000001</v>
      </c>
      <c r="O50" s="33">
        <v>14141</v>
      </c>
      <c r="P50" s="94">
        <v>12.074999999999999</v>
      </c>
      <c r="Q50" s="95" t="s">
        <v>135</v>
      </c>
      <c r="R50" s="95" t="s">
        <v>135</v>
      </c>
      <c r="S50" s="95" t="s">
        <v>135</v>
      </c>
      <c r="T50" s="96"/>
      <c r="U50" s="96"/>
      <c r="V50" s="95" t="s">
        <v>135</v>
      </c>
    </row>
    <row r="51" spans="1:22" ht="54.75" customHeight="1">
      <c r="A51" s="73">
        <v>18</v>
      </c>
      <c r="B51" s="99" t="s">
        <v>247</v>
      </c>
      <c r="C51" s="96">
        <v>1.833</v>
      </c>
      <c r="D51" s="96">
        <v>11914</v>
      </c>
      <c r="E51" s="96">
        <f t="shared" si="0"/>
        <v>1.1719999999999999</v>
      </c>
      <c r="F51" s="34">
        <f t="shared" si="1"/>
        <v>63.93889798145117</v>
      </c>
      <c r="G51" s="92">
        <f>ROUND(E51-(E51*0.08),2)+N51</f>
        <v>1.7410000000000001</v>
      </c>
      <c r="H51" s="93">
        <f>G51*100/C51</f>
        <v>94.980905619203511</v>
      </c>
      <c r="I51" s="92">
        <f>ROUND(E51-(E51*0.016),2)+N51</f>
        <v>1.8109999999999999</v>
      </c>
      <c r="J51" s="93">
        <f>I51*100/C51</f>
        <v>98.799781778505178</v>
      </c>
      <c r="K51" s="73" t="s">
        <v>248</v>
      </c>
      <c r="L51" s="73" t="s">
        <v>193</v>
      </c>
      <c r="M51" s="73" t="s">
        <v>26</v>
      </c>
      <c r="N51" s="96">
        <v>0.66100000000000003</v>
      </c>
      <c r="O51" s="33">
        <v>4947</v>
      </c>
      <c r="P51" s="94">
        <v>4.202</v>
      </c>
      <c r="Q51" s="95" t="s">
        <v>135</v>
      </c>
      <c r="R51" s="95" t="s">
        <v>135</v>
      </c>
      <c r="S51" s="95" t="s">
        <v>135</v>
      </c>
      <c r="T51" s="96"/>
      <c r="U51" s="96"/>
      <c r="V51" s="95" t="s">
        <v>135</v>
      </c>
    </row>
    <row r="52" spans="1:22" ht="68.25" customHeight="1">
      <c r="A52" s="73">
        <v>19</v>
      </c>
      <c r="B52" s="99" t="s">
        <v>249</v>
      </c>
      <c r="C52" s="96">
        <v>1.278</v>
      </c>
      <c r="D52" s="96">
        <v>7348</v>
      </c>
      <c r="E52" s="96">
        <f t="shared" si="0"/>
        <v>0.2390000000000001</v>
      </c>
      <c r="F52" s="34">
        <f t="shared" si="1"/>
        <v>18.701095461658849</v>
      </c>
      <c r="G52" s="92">
        <f>ROUND(E52-(E52*0.08),2)+N52</f>
        <v>1.2589999999999999</v>
      </c>
      <c r="H52" s="93">
        <f>G52*100/C52</f>
        <v>98.51330203442879</v>
      </c>
      <c r="I52" s="92">
        <f>ROUND(E52-(E52*0.016),2)+N52</f>
        <v>1.2789999999999999</v>
      </c>
      <c r="J52" s="93">
        <f>I52*100/C52</f>
        <v>100.07824726134585</v>
      </c>
      <c r="K52" s="73" t="s">
        <v>250</v>
      </c>
      <c r="L52" s="73" t="s">
        <v>193</v>
      </c>
      <c r="M52" s="73" t="s">
        <v>26</v>
      </c>
      <c r="N52" s="96">
        <v>1.0389999999999999</v>
      </c>
      <c r="O52" s="33">
        <v>11151</v>
      </c>
      <c r="P52" s="94">
        <v>9.3260000000000005</v>
      </c>
      <c r="Q52" s="95" t="s">
        <v>135</v>
      </c>
      <c r="R52" s="95" t="s">
        <v>135</v>
      </c>
      <c r="S52" s="95" t="s">
        <v>135</v>
      </c>
      <c r="T52" s="96"/>
      <c r="U52" s="96"/>
      <c r="V52" s="95" t="s">
        <v>135</v>
      </c>
    </row>
    <row r="53" spans="1:22" ht="38.25" customHeight="1">
      <c r="A53" s="216">
        <v>20</v>
      </c>
      <c r="B53" s="247" t="s">
        <v>251</v>
      </c>
      <c r="C53" s="96">
        <v>3.5979999999999999</v>
      </c>
      <c r="D53" s="102">
        <v>71623</v>
      </c>
      <c r="E53" s="89">
        <f t="shared" si="0"/>
        <v>0</v>
      </c>
      <c r="F53" s="34">
        <f t="shared" si="1"/>
        <v>0</v>
      </c>
      <c r="G53" s="89">
        <f>ROUND(E53-(E53*0.1),2)+N53</f>
        <v>3.5979999999999999</v>
      </c>
      <c r="H53" s="34">
        <f t="shared" si="2"/>
        <v>100</v>
      </c>
      <c r="I53" s="89">
        <f>ROUND(E53-(E53*0.2),2)+N53</f>
        <v>3.5979999999999999</v>
      </c>
      <c r="J53" s="34">
        <f t="shared" si="3"/>
        <v>100</v>
      </c>
      <c r="K53" s="73" t="s">
        <v>251</v>
      </c>
      <c r="L53" s="73" t="s">
        <v>193</v>
      </c>
      <c r="M53" s="73" t="s">
        <v>26</v>
      </c>
      <c r="N53" s="96">
        <v>3.5979999999999999</v>
      </c>
      <c r="O53" s="102">
        <v>71623</v>
      </c>
      <c r="P53" s="94">
        <v>68.286000000000001</v>
      </c>
      <c r="Q53" s="95" t="s">
        <v>135</v>
      </c>
      <c r="R53" s="95" t="s">
        <v>135</v>
      </c>
      <c r="S53" s="95" t="s">
        <v>135</v>
      </c>
      <c r="T53" s="96"/>
      <c r="U53" s="96"/>
      <c r="V53" s="95" t="s">
        <v>135</v>
      </c>
    </row>
    <row r="54" spans="1:22" ht="129.75" customHeight="1">
      <c r="A54" s="216"/>
      <c r="B54" s="248"/>
      <c r="C54" s="92"/>
      <c r="D54" s="102"/>
      <c r="E54" s="92"/>
      <c r="F54" s="93"/>
      <c r="G54" s="92"/>
      <c r="H54" s="93"/>
      <c r="I54" s="92"/>
      <c r="J54" s="93"/>
      <c r="K54" s="143" t="s">
        <v>252</v>
      </c>
      <c r="L54" s="142" t="s">
        <v>253</v>
      </c>
      <c r="M54" s="142" t="s">
        <v>26</v>
      </c>
      <c r="N54" s="96">
        <v>0.2</v>
      </c>
      <c r="O54" s="33"/>
      <c r="P54" s="94">
        <v>0.443</v>
      </c>
      <c r="Q54" s="143" t="s">
        <v>135</v>
      </c>
      <c r="R54" s="143" t="s">
        <v>135</v>
      </c>
      <c r="S54" s="143" t="s">
        <v>135</v>
      </c>
      <c r="T54" s="96"/>
      <c r="U54" s="96"/>
      <c r="V54" s="143" t="s">
        <v>135</v>
      </c>
    </row>
    <row r="55" spans="1:22" ht="132" customHeight="1">
      <c r="A55" s="130"/>
      <c r="B55" s="249"/>
      <c r="C55" s="92"/>
      <c r="D55" s="102"/>
      <c r="E55" s="92"/>
      <c r="F55" s="93"/>
      <c r="G55" s="92"/>
      <c r="H55" s="93"/>
      <c r="I55" s="92"/>
      <c r="J55" s="93"/>
      <c r="K55" s="135"/>
      <c r="L55" s="73" t="s">
        <v>224</v>
      </c>
      <c r="M55" s="73" t="s">
        <v>195</v>
      </c>
      <c r="N55" s="34">
        <v>1</v>
      </c>
      <c r="O55" s="33"/>
      <c r="P55" s="94">
        <v>0.33600000000000002</v>
      </c>
      <c r="Q55" s="95" t="s">
        <v>135</v>
      </c>
      <c r="R55" s="95" t="s">
        <v>135</v>
      </c>
      <c r="S55" s="95" t="s">
        <v>135</v>
      </c>
      <c r="T55" s="96"/>
      <c r="U55" s="96"/>
      <c r="V55" s="95" t="s">
        <v>135</v>
      </c>
    </row>
    <row r="56" spans="1:22" ht="45.75" customHeight="1">
      <c r="A56" s="73">
        <v>21</v>
      </c>
      <c r="B56" s="99" t="s">
        <v>254</v>
      </c>
      <c r="C56" s="96">
        <v>1.6879999999999999</v>
      </c>
      <c r="D56" s="34">
        <v>14831</v>
      </c>
      <c r="E56" s="96">
        <f>C56-N56</f>
        <v>0</v>
      </c>
      <c r="F56" s="34">
        <f t="shared" ref="F56:F61" si="4">E56*100/C56</f>
        <v>0</v>
      </c>
      <c r="G56" s="89">
        <f t="shared" ref="G56:G61" si="5">ROUND(E56-(E56*0.1),2)+N56</f>
        <v>1.6879999999999999</v>
      </c>
      <c r="H56" s="34">
        <f t="shared" ref="H56:H61" si="6">G56*100/C56</f>
        <v>100</v>
      </c>
      <c r="I56" s="89">
        <f>ROUND(E56-(E56*0.2),2)+N56</f>
        <v>1.6879999999999999</v>
      </c>
      <c r="J56" s="34">
        <f t="shared" ref="J56:J61" si="7">I56*100/C56</f>
        <v>100</v>
      </c>
      <c r="K56" s="73" t="s">
        <v>254</v>
      </c>
      <c r="L56" s="73" t="s">
        <v>193</v>
      </c>
      <c r="M56" s="73" t="s">
        <v>26</v>
      </c>
      <c r="N56" s="96">
        <v>1.6879999999999999</v>
      </c>
      <c r="O56" s="34">
        <v>14831</v>
      </c>
      <c r="P56" s="95">
        <v>12.577</v>
      </c>
      <c r="Q56" s="73" t="s">
        <v>135</v>
      </c>
      <c r="R56" s="73" t="s">
        <v>135</v>
      </c>
      <c r="S56" s="96" t="s">
        <v>135</v>
      </c>
      <c r="T56" s="96"/>
      <c r="U56" s="96"/>
      <c r="V56" s="95" t="s">
        <v>135</v>
      </c>
    </row>
    <row r="57" spans="1:22" ht="47.25" customHeight="1">
      <c r="A57" s="73">
        <v>22</v>
      </c>
      <c r="B57" s="99" t="s">
        <v>255</v>
      </c>
      <c r="C57" s="96">
        <v>2.2410000000000001</v>
      </c>
      <c r="D57" s="34">
        <v>24810</v>
      </c>
      <c r="E57" s="96">
        <f>C57-N57</f>
        <v>0</v>
      </c>
      <c r="F57" s="34">
        <f t="shared" si="4"/>
        <v>0</v>
      </c>
      <c r="G57" s="89">
        <f t="shared" si="5"/>
        <v>2.2410000000000001</v>
      </c>
      <c r="H57" s="34">
        <f t="shared" si="6"/>
        <v>100</v>
      </c>
      <c r="I57" s="89">
        <f>ROUND(E57-(E57*0.2),2)+N57</f>
        <v>2.2410000000000001</v>
      </c>
      <c r="J57" s="34">
        <f t="shared" si="7"/>
        <v>100</v>
      </c>
      <c r="K57" s="73" t="s">
        <v>255</v>
      </c>
      <c r="L57" s="73" t="s">
        <v>193</v>
      </c>
      <c r="M57" s="73" t="s">
        <v>26</v>
      </c>
      <c r="N57" s="96">
        <v>2.2410000000000001</v>
      </c>
      <c r="O57" s="34">
        <v>24810</v>
      </c>
      <c r="P57" s="95">
        <v>22.507999999999999</v>
      </c>
      <c r="Q57" s="73" t="s">
        <v>135</v>
      </c>
      <c r="R57" s="73" t="s">
        <v>135</v>
      </c>
      <c r="S57" s="96" t="s">
        <v>135</v>
      </c>
      <c r="T57" s="96"/>
      <c r="U57" s="96"/>
      <c r="V57" s="95" t="s">
        <v>135</v>
      </c>
    </row>
    <row r="58" spans="1:22" ht="38.25" customHeight="1">
      <c r="A58" s="73">
        <v>23</v>
      </c>
      <c r="B58" s="99" t="s">
        <v>256</v>
      </c>
      <c r="C58" s="96">
        <v>2.734</v>
      </c>
      <c r="D58" s="34">
        <v>57077</v>
      </c>
      <c r="E58" s="96">
        <f>C58-N58</f>
        <v>0</v>
      </c>
      <c r="F58" s="34">
        <f t="shared" si="4"/>
        <v>0</v>
      </c>
      <c r="G58" s="89">
        <f t="shared" si="5"/>
        <v>2.734</v>
      </c>
      <c r="H58" s="34">
        <f t="shared" si="6"/>
        <v>99.999999999999986</v>
      </c>
      <c r="I58" s="89">
        <f>ROUND(E58-(E58*0.2),2)+N58</f>
        <v>2.734</v>
      </c>
      <c r="J58" s="34">
        <f t="shared" si="7"/>
        <v>99.999999999999986</v>
      </c>
      <c r="K58" s="73" t="s">
        <v>256</v>
      </c>
      <c r="L58" s="73" t="s">
        <v>193</v>
      </c>
      <c r="M58" s="73" t="s">
        <v>26</v>
      </c>
      <c r="N58" s="96">
        <v>2.734</v>
      </c>
      <c r="O58" s="34">
        <v>57077</v>
      </c>
      <c r="P58" s="95">
        <v>52.423999999999999</v>
      </c>
      <c r="Q58" s="73" t="s">
        <v>135</v>
      </c>
      <c r="R58" s="73" t="s">
        <v>135</v>
      </c>
      <c r="S58" s="96" t="s">
        <v>135</v>
      </c>
      <c r="T58" s="96"/>
      <c r="U58" s="96"/>
      <c r="V58" s="95" t="s">
        <v>135</v>
      </c>
    </row>
    <row r="59" spans="1:22" ht="32.25" customHeight="1">
      <c r="A59" s="73">
        <v>24</v>
      </c>
      <c r="B59" s="99" t="s">
        <v>257</v>
      </c>
      <c r="C59" s="96">
        <v>1.22</v>
      </c>
      <c r="D59" s="34">
        <v>20315</v>
      </c>
      <c r="E59" s="96">
        <f>C59-N59</f>
        <v>0</v>
      </c>
      <c r="F59" s="34">
        <f t="shared" si="4"/>
        <v>0</v>
      </c>
      <c r="G59" s="89">
        <f t="shared" si="5"/>
        <v>1.22</v>
      </c>
      <c r="H59" s="34">
        <f t="shared" si="6"/>
        <v>100</v>
      </c>
      <c r="I59" s="89">
        <f>ROUND(E59-(E59*0.2),2)+N59</f>
        <v>1.22</v>
      </c>
      <c r="J59" s="34">
        <f t="shared" si="7"/>
        <v>100</v>
      </c>
      <c r="K59" s="73" t="s">
        <v>257</v>
      </c>
      <c r="L59" s="73" t="s">
        <v>193</v>
      </c>
      <c r="M59" s="73" t="s">
        <v>26</v>
      </c>
      <c r="N59" s="96">
        <v>1.22</v>
      </c>
      <c r="O59" s="34">
        <v>20315</v>
      </c>
      <c r="P59" s="95">
        <v>18.135000000000002</v>
      </c>
      <c r="Q59" s="73" t="s">
        <v>135</v>
      </c>
      <c r="R59" s="73" t="s">
        <v>135</v>
      </c>
      <c r="S59" s="96" t="s">
        <v>135</v>
      </c>
      <c r="T59" s="96"/>
      <c r="U59" s="96"/>
      <c r="V59" s="95" t="s">
        <v>135</v>
      </c>
    </row>
    <row r="60" spans="1:22" ht="37.5" customHeight="1">
      <c r="A60" s="73">
        <v>25</v>
      </c>
      <c r="B60" s="99" t="s">
        <v>258</v>
      </c>
      <c r="C60" s="96">
        <v>1.02</v>
      </c>
      <c r="D60" s="34">
        <v>23839</v>
      </c>
      <c r="E60" s="96">
        <f>C60-N60</f>
        <v>0</v>
      </c>
      <c r="F60" s="34">
        <f t="shared" si="4"/>
        <v>0</v>
      </c>
      <c r="G60" s="89">
        <f t="shared" si="5"/>
        <v>1.02</v>
      </c>
      <c r="H60" s="34">
        <f t="shared" si="6"/>
        <v>100</v>
      </c>
      <c r="I60" s="89">
        <f>ROUND(G60-(G60*0.1),2)</f>
        <v>0.92</v>
      </c>
      <c r="J60" s="34">
        <f t="shared" si="7"/>
        <v>90.196078431372541</v>
      </c>
      <c r="K60" s="73" t="s">
        <v>258</v>
      </c>
      <c r="L60" s="73" t="s">
        <v>193</v>
      </c>
      <c r="M60" s="73" t="s">
        <v>26</v>
      </c>
      <c r="N60" s="96">
        <v>1.02</v>
      </c>
      <c r="O60" s="34">
        <v>23839</v>
      </c>
      <c r="P60" s="95">
        <v>19.731000000000002</v>
      </c>
      <c r="Q60" s="73" t="s">
        <v>135</v>
      </c>
      <c r="R60" s="73" t="s">
        <v>135</v>
      </c>
      <c r="S60" s="96" t="s">
        <v>135</v>
      </c>
      <c r="T60" s="96"/>
      <c r="U60" s="96"/>
      <c r="V60" s="95" t="s">
        <v>135</v>
      </c>
    </row>
    <row r="61" spans="1:22" ht="46.5" customHeight="1">
      <c r="A61" s="260">
        <v>26</v>
      </c>
      <c r="B61" s="247" t="s">
        <v>259</v>
      </c>
      <c r="C61" s="73">
        <v>3.44</v>
      </c>
      <c r="D61" s="102">
        <v>89440</v>
      </c>
      <c r="E61" s="92">
        <v>0</v>
      </c>
      <c r="F61" s="93">
        <f t="shared" si="4"/>
        <v>0</v>
      </c>
      <c r="G61" s="92">
        <f t="shared" si="5"/>
        <v>0</v>
      </c>
      <c r="H61" s="93">
        <f t="shared" si="6"/>
        <v>0</v>
      </c>
      <c r="I61" s="92">
        <f>ROUND(G61-(G61*0.1),2)+T61</f>
        <v>3.44</v>
      </c>
      <c r="J61" s="93">
        <f t="shared" si="7"/>
        <v>100</v>
      </c>
      <c r="K61" s="73"/>
      <c r="L61" s="73"/>
      <c r="M61" s="73"/>
      <c r="N61" s="96"/>
      <c r="O61" s="33"/>
      <c r="P61" s="94"/>
      <c r="Q61" s="73" t="s">
        <v>259</v>
      </c>
      <c r="R61" s="73" t="s">
        <v>193</v>
      </c>
      <c r="S61" s="73" t="s">
        <v>26</v>
      </c>
      <c r="T61" s="96">
        <v>3.44</v>
      </c>
      <c r="U61" s="33">
        <v>89440</v>
      </c>
      <c r="V61" s="94">
        <v>93.91</v>
      </c>
    </row>
    <row r="62" spans="1:22" ht="110.25" customHeight="1">
      <c r="A62" s="260"/>
      <c r="B62" s="248"/>
      <c r="C62" s="90"/>
      <c r="D62" s="102"/>
      <c r="E62" s="92"/>
      <c r="F62" s="93"/>
      <c r="G62" s="92"/>
      <c r="H62" s="93"/>
      <c r="I62" s="92"/>
      <c r="J62" s="93"/>
      <c r="K62" s="95" t="s">
        <v>260</v>
      </c>
      <c r="L62" s="73" t="s">
        <v>261</v>
      </c>
      <c r="M62" s="73" t="s">
        <v>26</v>
      </c>
      <c r="N62" s="96">
        <v>0.2</v>
      </c>
      <c r="O62" s="33"/>
      <c r="P62" s="94">
        <v>0.443</v>
      </c>
      <c r="Q62" s="95" t="s">
        <v>135</v>
      </c>
      <c r="R62" s="95" t="s">
        <v>135</v>
      </c>
      <c r="S62" s="95" t="s">
        <v>135</v>
      </c>
      <c r="T62" s="96"/>
      <c r="U62" s="96"/>
      <c r="V62" s="95" t="s">
        <v>135</v>
      </c>
    </row>
    <row r="63" spans="1:22" ht="101.25" customHeight="1">
      <c r="A63" s="129"/>
      <c r="B63" s="248"/>
      <c r="C63" s="90"/>
      <c r="D63" s="102"/>
      <c r="E63" s="92"/>
      <c r="F63" s="93"/>
      <c r="G63" s="92"/>
      <c r="H63" s="93"/>
      <c r="I63" s="92"/>
      <c r="J63" s="93"/>
      <c r="K63" s="223" t="s">
        <v>262</v>
      </c>
      <c r="L63" s="73" t="s">
        <v>263</v>
      </c>
      <c r="M63" s="73" t="s">
        <v>195</v>
      </c>
      <c r="N63" s="97">
        <v>2</v>
      </c>
      <c r="O63" s="33"/>
      <c r="P63" s="94">
        <v>0.13</v>
      </c>
      <c r="Q63" s="95" t="s">
        <v>135</v>
      </c>
      <c r="R63" s="95" t="s">
        <v>135</v>
      </c>
      <c r="S63" s="95" t="s">
        <v>135</v>
      </c>
      <c r="T63" s="96"/>
      <c r="U63" s="96"/>
      <c r="V63" s="95" t="s">
        <v>135</v>
      </c>
    </row>
    <row r="64" spans="1:22" ht="179.25" customHeight="1">
      <c r="A64" s="130"/>
      <c r="B64" s="249"/>
      <c r="C64" s="90"/>
      <c r="D64" s="102"/>
      <c r="E64" s="92"/>
      <c r="F64" s="93"/>
      <c r="G64" s="92"/>
      <c r="H64" s="93"/>
      <c r="I64" s="92"/>
      <c r="J64" s="93"/>
      <c r="K64" s="225"/>
      <c r="L64" s="73" t="s">
        <v>264</v>
      </c>
      <c r="M64" s="73" t="s">
        <v>26</v>
      </c>
      <c r="N64" s="96">
        <v>0.4</v>
      </c>
      <c r="O64" s="33"/>
      <c r="P64" s="94">
        <v>0.88600000000000001</v>
      </c>
      <c r="Q64" s="95" t="s">
        <v>135</v>
      </c>
      <c r="R64" s="95" t="s">
        <v>135</v>
      </c>
      <c r="S64" s="95" t="s">
        <v>135</v>
      </c>
      <c r="T64" s="96"/>
      <c r="U64" s="96"/>
      <c r="V64" s="95" t="s">
        <v>135</v>
      </c>
    </row>
    <row r="65" spans="1:22" ht="32.25" customHeight="1">
      <c r="A65" s="73">
        <v>27</v>
      </c>
      <c r="B65" s="99" t="s">
        <v>265</v>
      </c>
      <c r="C65" s="96">
        <v>1.486</v>
      </c>
      <c r="D65" s="102">
        <v>21545</v>
      </c>
      <c r="E65" s="96">
        <f>C65-N65</f>
        <v>0</v>
      </c>
      <c r="F65" s="34">
        <f t="shared" ref="F65:F69" si="8">E65*100/C65</f>
        <v>0</v>
      </c>
      <c r="G65" s="89">
        <f>ROUND(E65-(E65*0.1),2)+N65</f>
        <v>1.486</v>
      </c>
      <c r="H65" s="34">
        <f t="shared" ref="H65:H69" si="9">G65*100/C65</f>
        <v>100</v>
      </c>
      <c r="I65" s="89">
        <f>ROUND(G65-(G65*0.3),2)</f>
        <v>1.04</v>
      </c>
      <c r="J65" s="34">
        <f t="shared" ref="J65:J69" si="10">I65*100/C65</f>
        <v>69.98654104979812</v>
      </c>
      <c r="K65" s="73" t="s">
        <v>265</v>
      </c>
      <c r="L65" s="73" t="s">
        <v>193</v>
      </c>
      <c r="M65" s="73" t="s">
        <v>26</v>
      </c>
      <c r="N65" s="96">
        <v>1.486</v>
      </c>
      <c r="O65" s="102">
        <v>21545</v>
      </c>
      <c r="P65" s="94">
        <v>20.367000000000001</v>
      </c>
      <c r="Q65" s="95" t="s">
        <v>135</v>
      </c>
      <c r="R65" s="95" t="s">
        <v>135</v>
      </c>
      <c r="S65" s="95" t="s">
        <v>135</v>
      </c>
      <c r="T65" s="96"/>
      <c r="U65" s="96"/>
      <c r="V65" s="95" t="s">
        <v>135</v>
      </c>
    </row>
    <row r="66" spans="1:22" ht="47.25">
      <c r="A66" s="73">
        <v>28</v>
      </c>
      <c r="B66" s="99" t="s">
        <v>266</v>
      </c>
      <c r="C66" s="96">
        <v>1.6</v>
      </c>
      <c r="D66" s="102">
        <v>22400</v>
      </c>
      <c r="E66" s="96">
        <f>C66-N66</f>
        <v>0.1120000000000001</v>
      </c>
      <c r="F66" s="34">
        <f t="shared" si="8"/>
        <v>7.0000000000000062</v>
      </c>
      <c r="G66" s="92">
        <f>ROUND(E66-(E66*0.08),2)+N66</f>
        <v>1.5880000000000001</v>
      </c>
      <c r="H66" s="93">
        <f>G66*100/C66</f>
        <v>99.25</v>
      </c>
      <c r="I66" s="89">
        <f>ROUND(G66-(G66*0.2),2)</f>
        <v>1.27</v>
      </c>
      <c r="J66" s="93">
        <f>I66*100/C66</f>
        <v>79.375</v>
      </c>
      <c r="K66" s="73" t="s">
        <v>267</v>
      </c>
      <c r="L66" s="73" t="s">
        <v>193</v>
      </c>
      <c r="M66" s="73" t="s">
        <v>26</v>
      </c>
      <c r="N66" s="96">
        <v>1.488</v>
      </c>
      <c r="O66" s="33">
        <v>19180</v>
      </c>
      <c r="P66" s="94">
        <v>16.326000000000001</v>
      </c>
      <c r="Q66" s="95" t="s">
        <v>135</v>
      </c>
      <c r="R66" s="95" t="s">
        <v>135</v>
      </c>
      <c r="S66" s="103" t="s">
        <v>135</v>
      </c>
      <c r="T66" s="96"/>
      <c r="U66" s="96"/>
      <c r="V66" s="95" t="s">
        <v>135</v>
      </c>
    </row>
    <row r="67" spans="1:22" ht="51.75" customHeight="1">
      <c r="A67" s="73">
        <v>29</v>
      </c>
      <c r="B67" s="99" t="s">
        <v>268</v>
      </c>
      <c r="C67" s="96">
        <v>1.1200000000000001</v>
      </c>
      <c r="D67" s="102">
        <v>9800</v>
      </c>
      <c r="E67" s="96">
        <f>C67-N67</f>
        <v>0.40000000000000013</v>
      </c>
      <c r="F67" s="34">
        <f t="shared" si="8"/>
        <v>35.714285714285722</v>
      </c>
      <c r="G67" s="92">
        <f>ROUND(E67-(E67*0.08),2)+N67</f>
        <v>1.0899999999999999</v>
      </c>
      <c r="H67" s="93">
        <f>G67*100/C67</f>
        <v>97.321428571428555</v>
      </c>
      <c r="I67" s="92">
        <f>ROUND(E67-(E67*0.016),2)+N67</f>
        <v>1.1099999999999999</v>
      </c>
      <c r="J67" s="93">
        <f>I67*100/C67</f>
        <v>99.107142857142833</v>
      </c>
      <c r="K67" s="73" t="s">
        <v>269</v>
      </c>
      <c r="L67" s="73" t="s">
        <v>193</v>
      </c>
      <c r="M67" s="73" t="s">
        <v>26</v>
      </c>
      <c r="N67" s="96">
        <v>0.72</v>
      </c>
      <c r="O67" s="33">
        <v>6300</v>
      </c>
      <c r="P67" s="94">
        <v>16.21</v>
      </c>
      <c r="Q67" s="95" t="s">
        <v>135</v>
      </c>
      <c r="R67" s="95" t="s">
        <v>135</v>
      </c>
      <c r="S67" s="95" t="s">
        <v>135</v>
      </c>
      <c r="T67" s="96"/>
      <c r="U67" s="96"/>
      <c r="V67" s="95" t="s">
        <v>135</v>
      </c>
    </row>
    <row r="68" spans="1:22" ht="54" customHeight="1">
      <c r="A68" s="73">
        <v>30</v>
      </c>
      <c r="B68" s="99" t="s">
        <v>270</v>
      </c>
      <c r="C68" s="96">
        <v>2.0720000000000001</v>
      </c>
      <c r="D68" s="102">
        <v>22785</v>
      </c>
      <c r="E68" s="96">
        <f>C68-N68</f>
        <v>0</v>
      </c>
      <c r="F68" s="34">
        <f t="shared" si="8"/>
        <v>0</v>
      </c>
      <c r="G68" s="96">
        <f>ROUND(E68-(E68*0.1),2)+N68</f>
        <v>2.0720000000000001</v>
      </c>
      <c r="H68" s="34">
        <f t="shared" si="9"/>
        <v>100</v>
      </c>
      <c r="I68" s="96">
        <f>ROUND(E68-(E68*0.2),2)+N68</f>
        <v>2.0720000000000001</v>
      </c>
      <c r="J68" s="34">
        <f t="shared" si="10"/>
        <v>100</v>
      </c>
      <c r="K68" s="73" t="s">
        <v>271</v>
      </c>
      <c r="L68" s="73" t="s">
        <v>193</v>
      </c>
      <c r="M68" s="73" t="s">
        <v>26</v>
      </c>
      <c r="N68" s="96">
        <v>2.0720000000000001</v>
      </c>
      <c r="O68" s="102">
        <v>22785</v>
      </c>
      <c r="P68" s="94">
        <v>20.887</v>
      </c>
      <c r="Q68" s="95" t="s">
        <v>135</v>
      </c>
      <c r="R68" s="95" t="s">
        <v>135</v>
      </c>
      <c r="S68" s="95" t="s">
        <v>135</v>
      </c>
      <c r="T68" s="96"/>
      <c r="U68" s="96"/>
      <c r="V68" s="95" t="s">
        <v>135</v>
      </c>
    </row>
    <row r="69" spans="1:22" ht="40.5" customHeight="1">
      <c r="A69" s="73">
        <v>31</v>
      </c>
      <c r="B69" s="247" t="s">
        <v>272</v>
      </c>
      <c r="C69" s="96">
        <v>2.4700000000000002</v>
      </c>
      <c r="D69" s="102">
        <v>47209</v>
      </c>
      <c r="E69" s="89">
        <f>C69-N69</f>
        <v>0</v>
      </c>
      <c r="F69" s="34">
        <f t="shared" si="8"/>
        <v>0</v>
      </c>
      <c r="G69" s="89">
        <f>ROUND(E69-(E69*0.1),2)+N69</f>
        <v>2.4700000000000002</v>
      </c>
      <c r="H69" s="34">
        <f t="shared" si="9"/>
        <v>100</v>
      </c>
      <c r="I69" s="89">
        <f>ROUND(E69-(E69*0.2),2)+N69</f>
        <v>2.4700000000000002</v>
      </c>
      <c r="J69" s="34">
        <f t="shared" si="10"/>
        <v>100</v>
      </c>
      <c r="K69" s="73" t="s">
        <v>272</v>
      </c>
      <c r="L69" s="73" t="s">
        <v>193</v>
      </c>
      <c r="M69" s="73" t="s">
        <v>26</v>
      </c>
      <c r="N69" s="96">
        <v>2.4700000000000002</v>
      </c>
      <c r="O69" s="102">
        <v>47209</v>
      </c>
      <c r="P69" s="94">
        <v>41.411999999999999</v>
      </c>
      <c r="Q69" s="95" t="s">
        <v>135</v>
      </c>
      <c r="R69" s="95" t="s">
        <v>135</v>
      </c>
      <c r="S69" s="95" t="s">
        <v>135</v>
      </c>
      <c r="T69" s="96"/>
      <c r="U69" s="96"/>
      <c r="V69" s="95" t="s">
        <v>135</v>
      </c>
    </row>
    <row r="70" spans="1:22" ht="69.75" customHeight="1">
      <c r="A70" s="72"/>
      <c r="B70" s="249"/>
      <c r="C70" s="92"/>
      <c r="D70" s="102"/>
      <c r="E70" s="92"/>
      <c r="F70" s="93"/>
      <c r="G70" s="92"/>
      <c r="H70" s="93"/>
      <c r="I70" s="92"/>
      <c r="J70" s="93"/>
      <c r="K70" s="95" t="s">
        <v>273</v>
      </c>
      <c r="L70" s="73" t="s">
        <v>274</v>
      </c>
      <c r="M70" s="73" t="s">
        <v>195</v>
      </c>
      <c r="N70" s="97">
        <v>2</v>
      </c>
      <c r="O70" s="33"/>
      <c r="P70" s="94">
        <v>0.13</v>
      </c>
      <c r="Q70" s="95" t="s">
        <v>135</v>
      </c>
      <c r="R70" s="95" t="s">
        <v>135</v>
      </c>
      <c r="S70" s="95" t="s">
        <v>135</v>
      </c>
      <c r="T70" s="96"/>
      <c r="U70" s="96"/>
      <c r="V70" s="95" t="s">
        <v>135</v>
      </c>
    </row>
    <row r="71" spans="1:22" ht="34.5" customHeight="1">
      <c r="A71" s="73">
        <v>32</v>
      </c>
      <c r="B71" s="99" t="s">
        <v>275</v>
      </c>
      <c r="C71" s="96">
        <v>1.1539999999999999</v>
      </c>
      <c r="D71" s="102">
        <v>10892</v>
      </c>
      <c r="E71" s="96">
        <f>C71-N71</f>
        <v>0</v>
      </c>
      <c r="F71" s="34">
        <f>E71*100/C71</f>
        <v>0</v>
      </c>
      <c r="G71" s="89">
        <f>ROUND(E71-(E71*0.1),2)+N71</f>
        <v>1.1539999999999999</v>
      </c>
      <c r="H71" s="34">
        <f>G71*100/C71</f>
        <v>100</v>
      </c>
      <c r="I71" s="89">
        <f>ROUND(E71-(E71*0.2),2)+N71</f>
        <v>1.1539999999999999</v>
      </c>
      <c r="J71" s="34">
        <f>I71*100/C71</f>
        <v>100</v>
      </c>
      <c r="K71" s="73" t="s">
        <v>275</v>
      </c>
      <c r="L71" s="73" t="s">
        <v>193</v>
      </c>
      <c r="M71" s="73" t="s">
        <v>26</v>
      </c>
      <c r="N71" s="96">
        <v>1.1539999999999999</v>
      </c>
      <c r="O71" s="102">
        <v>10892</v>
      </c>
      <c r="P71" s="94">
        <v>8.9670000000000005</v>
      </c>
      <c r="Q71" s="95" t="s">
        <v>135</v>
      </c>
      <c r="R71" s="95" t="s">
        <v>135</v>
      </c>
      <c r="S71" s="95" t="s">
        <v>135</v>
      </c>
      <c r="T71" s="96"/>
      <c r="U71" s="96"/>
      <c r="V71" s="95" t="s">
        <v>135</v>
      </c>
    </row>
    <row r="72" spans="1:22" ht="35.25" customHeight="1">
      <c r="A72" s="73">
        <v>33</v>
      </c>
      <c r="B72" s="99" t="s">
        <v>276</v>
      </c>
      <c r="C72" s="96">
        <v>3.72</v>
      </c>
      <c r="D72" s="96">
        <v>23250</v>
      </c>
      <c r="E72" s="96">
        <f>C72-N72</f>
        <v>2.7910000000000004</v>
      </c>
      <c r="F72" s="34">
        <f>E72*100/C72</f>
        <v>75.026881720430111</v>
      </c>
      <c r="G72" s="92">
        <f>ROUND(E72-(E72*0.08),2)+N72</f>
        <v>3.4989999999999997</v>
      </c>
      <c r="H72" s="93">
        <f>G72*100/C72</f>
        <v>94.059139784946225</v>
      </c>
      <c r="I72" s="92">
        <f>ROUND(E72-(E72*0.016),2)+N72</f>
        <v>3.6790000000000003</v>
      </c>
      <c r="J72" s="93">
        <f>I72*100/C72</f>
        <v>98.897849462365599</v>
      </c>
      <c r="K72" s="73" t="s">
        <v>277</v>
      </c>
      <c r="L72" s="73" t="s">
        <v>193</v>
      </c>
      <c r="M72" s="73" t="s">
        <v>26</v>
      </c>
      <c r="N72" s="96">
        <v>0.92900000000000005</v>
      </c>
      <c r="O72" s="33">
        <v>5806</v>
      </c>
      <c r="P72" s="94">
        <v>4.9109999999999996</v>
      </c>
      <c r="Q72" s="95" t="s">
        <v>135</v>
      </c>
      <c r="R72" s="95" t="s">
        <v>135</v>
      </c>
      <c r="S72" s="95" t="s">
        <v>135</v>
      </c>
      <c r="T72" s="96"/>
      <c r="U72" s="96"/>
      <c r="V72" s="95" t="s">
        <v>135</v>
      </c>
    </row>
    <row r="73" spans="1:22" ht="34.5" customHeight="1">
      <c r="A73" s="216">
        <v>34</v>
      </c>
      <c r="B73" s="247" t="s">
        <v>278</v>
      </c>
      <c r="C73" s="73">
        <v>5.4290000000000003</v>
      </c>
      <c r="D73" s="102">
        <v>89067</v>
      </c>
      <c r="E73" s="89">
        <f>C73-N73</f>
        <v>1</v>
      </c>
      <c r="F73" s="34">
        <f>E73*100/C73</f>
        <v>18.419598452753728</v>
      </c>
      <c r="G73" s="92">
        <f>ROUND(E73-(E73*0.08),2)+N73</f>
        <v>5.3490000000000002</v>
      </c>
      <c r="H73" s="93">
        <f>G73*100/C73</f>
        <v>98.526432123779699</v>
      </c>
      <c r="I73" s="89">
        <f>ROUND(G73-(G73*0.1),2)</f>
        <v>4.8099999999999996</v>
      </c>
      <c r="J73" s="93">
        <f>I73*100/C73</f>
        <v>88.598268557745428</v>
      </c>
      <c r="K73" s="73" t="s">
        <v>278</v>
      </c>
      <c r="L73" s="73" t="s">
        <v>193</v>
      </c>
      <c r="M73" s="73" t="s">
        <v>26</v>
      </c>
      <c r="N73" s="73">
        <v>4.4290000000000003</v>
      </c>
      <c r="O73" s="102">
        <v>82067</v>
      </c>
      <c r="P73" s="94">
        <v>72.662000000000006</v>
      </c>
      <c r="Q73" s="95" t="s">
        <v>135</v>
      </c>
      <c r="R73" s="95" t="s">
        <v>135</v>
      </c>
      <c r="S73" s="95" t="s">
        <v>135</v>
      </c>
      <c r="T73" s="96"/>
      <c r="U73" s="96"/>
      <c r="V73" s="95" t="s">
        <v>135</v>
      </c>
    </row>
    <row r="74" spans="1:22" ht="73.5" customHeight="1">
      <c r="A74" s="216"/>
      <c r="B74" s="248"/>
      <c r="C74" s="90"/>
      <c r="D74" s="102"/>
      <c r="E74" s="90"/>
      <c r="F74" s="93"/>
      <c r="G74" s="90"/>
      <c r="H74" s="93"/>
      <c r="I74" s="90"/>
      <c r="J74" s="93"/>
      <c r="K74" s="253" t="s">
        <v>279</v>
      </c>
      <c r="L74" s="73" t="s">
        <v>280</v>
      </c>
      <c r="M74" s="73" t="s">
        <v>195</v>
      </c>
      <c r="N74" s="97">
        <v>1</v>
      </c>
      <c r="O74" s="33"/>
      <c r="P74" s="94">
        <v>5.0000000000000001E-3</v>
      </c>
      <c r="Q74" s="95" t="s">
        <v>135</v>
      </c>
      <c r="R74" s="95" t="s">
        <v>135</v>
      </c>
      <c r="S74" s="95" t="s">
        <v>135</v>
      </c>
      <c r="T74" s="96"/>
      <c r="U74" s="96"/>
      <c r="V74" s="95" t="s">
        <v>135</v>
      </c>
    </row>
    <row r="75" spans="1:22" ht="124.5" customHeight="1">
      <c r="A75" s="216"/>
      <c r="B75" s="248"/>
      <c r="C75" s="90"/>
      <c r="D75" s="102"/>
      <c r="E75" s="90"/>
      <c r="F75" s="93"/>
      <c r="G75" s="90"/>
      <c r="H75" s="93"/>
      <c r="I75" s="90"/>
      <c r="J75" s="93"/>
      <c r="K75" s="253"/>
      <c r="L75" s="73" t="s">
        <v>281</v>
      </c>
      <c r="M75" s="73" t="s">
        <v>195</v>
      </c>
      <c r="N75" s="97">
        <v>2</v>
      </c>
      <c r="O75" s="33"/>
      <c r="P75" s="94">
        <v>0.01</v>
      </c>
      <c r="Q75" s="95" t="s">
        <v>135</v>
      </c>
      <c r="R75" s="95" t="s">
        <v>135</v>
      </c>
      <c r="S75" s="95" t="s">
        <v>135</v>
      </c>
      <c r="T75" s="96"/>
      <c r="U75" s="96"/>
      <c r="V75" s="95" t="s">
        <v>135</v>
      </c>
    </row>
    <row r="76" spans="1:22" ht="112.5" customHeight="1">
      <c r="A76" s="216"/>
      <c r="B76" s="248"/>
      <c r="C76" s="90"/>
      <c r="D76" s="102"/>
      <c r="E76" s="90"/>
      <c r="F76" s="93"/>
      <c r="G76" s="90"/>
      <c r="H76" s="93"/>
      <c r="I76" s="90"/>
      <c r="J76" s="93"/>
      <c r="K76" s="253"/>
      <c r="L76" s="73" t="s">
        <v>282</v>
      </c>
      <c r="M76" s="73" t="s">
        <v>195</v>
      </c>
      <c r="N76" s="34">
        <v>2</v>
      </c>
      <c r="O76" s="33"/>
      <c r="P76" s="94">
        <v>0.67200000000000004</v>
      </c>
      <c r="Q76" s="95" t="s">
        <v>135</v>
      </c>
      <c r="R76" s="95" t="s">
        <v>135</v>
      </c>
      <c r="S76" s="95" t="s">
        <v>135</v>
      </c>
      <c r="T76" s="96"/>
      <c r="U76" s="96"/>
      <c r="V76" s="95" t="s">
        <v>135</v>
      </c>
    </row>
    <row r="77" spans="1:22" ht="90.75" customHeight="1">
      <c r="A77" s="72"/>
      <c r="B77" s="249"/>
      <c r="C77" s="90"/>
      <c r="D77" s="102"/>
      <c r="E77" s="90"/>
      <c r="F77" s="93"/>
      <c r="G77" s="90"/>
      <c r="H77" s="93"/>
      <c r="I77" s="90"/>
      <c r="J77" s="93"/>
      <c r="K77" s="134"/>
      <c r="L77" s="73" t="s">
        <v>283</v>
      </c>
      <c r="M77" s="73" t="s">
        <v>195</v>
      </c>
      <c r="N77" s="97">
        <v>2</v>
      </c>
      <c r="O77" s="33"/>
      <c r="P77" s="94">
        <v>0.13</v>
      </c>
      <c r="Q77" s="95" t="s">
        <v>135</v>
      </c>
      <c r="R77" s="95" t="s">
        <v>135</v>
      </c>
      <c r="S77" s="95" t="s">
        <v>135</v>
      </c>
      <c r="T77" s="96"/>
      <c r="U77" s="96"/>
      <c r="V77" s="95" t="s">
        <v>135</v>
      </c>
    </row>
    <row r="78" spans="1:22" ht="57" customHeight="1">
      <c r="A78" s="73">
        <v>35</v>
      </c>
      <c r="B78" s="247" t="s">
        <v>284</v>
      </c>
      <c r="C78" s="73">
        <v>4.79</v>
      </c>
      <c r="D78" s="102">
        <v>52690</v>
      </c>
      <c r="E78" s="89">
        <v>0</v>
      </c>
      <c r="F78" s="34">
        <f>E78*100/C78</f>
        <v>0</v>
      </c>
      <c r="G78" s="89">
        <f>ROUND(E78-(E78*0.1),2)+N78</f>
        <v>0</v>
      </c>
      <c r="H78" s="34">
        <f>G78*100/C78</f>
        <v>0</v>
      </c>
      <c r="I78" s="89">
        <f>ROUND(G78-(G78*0.1),2)+T78</f>
        <v>4.79</v>
      </c>
      <c r="J78" s="34">
        <f>I78*100/C78</f>
        <v>100</v>
      </c>
      <c r="K78" s="73"/>
      <c r="L78" s="73"/>
      <c r="M78" s="73"/>
      <c r="N78" s="96"/>
      <c r="O78" s="33"/>
      <c r="P78" s="94"/>
      <c r="Q78" s="73" t="s">
        <v>284</v>
      </c>
      <c r="R78" s="73" t="s">
        <v>193</v>
      </c>
      <c r="S78" s="73" t="s">
        <v>26</v>
      </c>
      <c r="T78" s="96">
        <v>4.79</v>
      </c>
      <c r="U78" s="102">
        <v>52690</v>
      </c>
      <c r="V78" s="94">
        <v>42.76</v>
      </c>
    </row>
    <row r="79" spans="1:22" ht="94.5" customHeight="1">
      <c r="A79" s="216"/>
      <c r="B79" s="248"/>
      <c r="C79" s="90"/>
      <c r="D79" s="102"/>
      <c r="E79" s="90"/>
      <c r="F79" s="93"/>
      <c r="G79" s="90"/>
      <c r="H79" s="93"/>
      <c r="I79" s="90"/>
      <c r="J79" s="93"/>
      <c r="K79" s="253" t="s">
        <v>285</v>
      </c>
      <c r="L79" s="73" t="s">
        <v>286</v>
      </c>
      <c r="M79" s="73" t="s">
        <v>26</v>
      </c>
      <c r="N79" s="73">
        <v>0.15</v>
      </c>
      <c r="O79" s="73"/>
      <c r="P79" s="94">
        <v>0.3322</v>
      </c>
      <c r="Q79" s="95" t="s">
        <v>135</v>
      </c>
      <c r="R79" s="95" t="s">
        <v>135</v>
      </c>
      <c r="S79" s="95" t="s">
        <v>135</v>
      </c>
      <c r="T79" s="96"/>
      <c r="U79" s="96"/>
      <c r="V79" s="95" t="s">
        <v>135</v>
      </c>
    </row>
    <row r="80" spans="1:22" ht="78.75" customHeight="1">
      <c r="A80" s="216"/>
      <c r="B80" s="248"/>
      <c r="C80" s="90"/>
      <c r="D80" s="102"/>
      <c r="E80" s="90"/>
      <c r="F80" s="93"/>
      <c r="G80" s="90"/>
      <c r="H80" s="93"/>
      <c r="I80" s="90"/>
      <c r="J80" s="93"/>
      <c r="K80" s="253"/>
      <c r="L80" s="73" t="s">
        <v>287</v>
      </c>
      <c r="M80" s="73" t="s">
        <v>195</v>
      </c>
      <c r="N80" s="96">
        <v>1</v>
      </c>
      <c r="O80" s="33"/>
      <c r="P80" s="94">
        <v>7.4999999999999997E-2</v>
      </c>
      <c r="Q80" s="95" t="s">
        <v>135</v>
      </c>
      <c r="R80" s="95" t="s">
        <v>135</v>
      </c>
      <c r="S80" s="95" t="s">
        <v>135</v>
      </c>
      <c r="T80" s="96"/>
      <c r="U80" s="96"/>
      <c r="V80" s="95" t="s">
        <v>135</v>
      </c>
    </row>
    <row r="81" spans="1:22" ht="162.75" customHeight="1">
      <c r="A81" s="216"/>
      <c r="B81" s="249"/>
      <c r="C81" s="90"/>
      <c r="D81" s="102"/>
      <c r="E81" s="90"/>
      <c r="F81" s="93"/>
      <c r="G81" s="90"/>
      <c r="H81" s="93"/>
      <c r="I81" s="90"/>
      <c r="J81" s="93"/>
      <c r="K81" s="253"/>
      <c r="L81" s="73" t="s">
        <v>288</v>
      </c>
      <c r="M81" s="73" t="s">
        <v>195</v>
      </c>
      <c r="N81" s="97">
        <v>6</v>
      </c>
      <c r="O81" s="33"/>
      <c r="P81" s="94">
        <v>0.39</v>
      </c>
      <c r="Q81" s="95" t="s">
        <v>135</v>
      </c>
      <c r="R81" s="95" t="s">
        <v>135</v>
      </c>
      <c r="S81" s="95" t="s">
        <v>135</v>
      </c>
      <c r="T81" s="96"/>
      <c r="U81" s="96"/>
      <c r="V81" s="95" t="s">
        <v>135</v>
      </c>
    </row>
    <row r="82" spans="1:22" ht="51.75" customHeight="1">
      <c r="A82" s="73">
        <v>36</v>
      </c>
      <c r="B82" s="99" t="s">
        <v>289</v>
      </c>
      <c r="C82" s="96">
        <v>2.6259999999999999</v>
      </c>
      <c r="D82" s="102">
        <v>10000</v>
      </c>
      <c r="E82" s="96">
        <v>1.546</v>
      </c>
      <c r="F82" s="34">
        <f>E82*100/C82</f>
        <v>58.872810357958876</v>
      </c>
      <c r="G82" s="92">
        <f>ROUND(E82-(E82*0.08),2)+N82</f>
        <v>1.42</v>
      </c>
      <c r="H82" s="93">
        <f>G82*100/C82</f>
        <v>54.074638233054074</v>
      </c>
      <c r="I82" s="92">
        <f>ROUND(E82-(E82*0.016),2)+N82</f>
        <v>1.52</v>
      </c>
      <c r="J82" s="93">
        <f>I82*100/C82</f>
        <v>57.882711348057882</v>
      </c>
      <c r="K82" s="73" t="s">
        <v>290</v>
      </c>
      <c r="L82" s="73"/>
      <c r="M82" s="73"/>
      <c r="N82" s="96"/>
      <c r="O82" s="33"/>
      <c r="P82" s="95"/>
      <c r="Q82" s="95" t="s">
        <v>135</v>
      </c>
      <c r="R82" s="95" t="s">
        <v>135</v>
      </c>
      <c r="S82" s="95" t="s">
        <v>135</v>
      </c>
      <c r="T82" s="96"/>
      <c r="U82" s="96"/>
      <c r="V82" s="95" t="s">
        <v>135</v>
      </c>
    </row>
    <row r="83" spans="1:22" ht="47.25">
      <c r="A83" s="212">
        <v>37</v>
      </c>
      <c r="B83" s="247" t="s">
        <v>291</v>
      </c>
      <c r="C83" s="96">
        <v>4.6920000000000002</v>
      </c>
      <c r="D83" s="102">
        <v>60996</v>
      </c>
      <c r="E83" s="92">
        <f>C83-N83</f>
        <v>1.6510000000000002</v>
      </c>
      <c r="F83" s="34">
        <f>E83*100/C83</f>
        <v>35.187553282182442</v>
      </c>
      <c r="G83" s="92">
        <f>ROUND(E83-(E83*0.08),2)+N83</f>
        <v>4.5609999999999999</v>
      </c>
      <c r="H83" s="93">
        <f>G83*100/C83</f>
        <v>97.208013640238704</v>
      </c>
      <c r="I83" s="92">
        <f>ROUND(E83-(E83*0.016),2)+N83</f>
        <v>4.6609999999999996</v>
      </c>
      <c r="J83" s="93">
        <f>I83*100/C83</f>
        <v>99.339300937766396</v>
      </c>
      <c r="K83" s="73" t="s">
        <v>292</v>
      </c>
      <c r="L83" s="73" t="s">
        <v>193</v>
      </c>
      <c r="M83" s="73" t="s">
        <v>26</v>
      </c>
      <c r="N83" s="96">
        <v>3.0409999999999999</v>
      </c>
      <c r="O83" s="33">
        <v>70962</v>
      </c>
      <c r="P83" s="94">
        <v>61.024000000000001</v>
      </c>
      <c r="Q83" s="95" t="s">
        <v>135</v>
      </c>
      <c r="R83" s="95" t="s">
        <v>135</v>
      </c>
      <c r="S83" s="95" t="s">
        <v>135</v>
      </c>
      <c r="T83" s="96"/>
      <c r="U83" s="96"/>
      <c r="V83" s="95" t="s">
        <v>135</v>
      </c>
    </row>
    <row r="84" spans="1:22" ht="74.25" customHeight="1">
      <c r="A84" s="226"/>
      <c r="B84" s="248"/>
      <c r="C84" s="92"/>
      <c r="D84" s="102"/>
      <c r="E84" s="92"/>
      <c r="F84" s="93"/>
      <c r="G84" s="92"/>
      <c r="H84" s="93"/>
      <c r="I84" s="92"/>
      <c r="J84" s="93"/>
      <c r="K84" s="73" t="s">
        <v>293</v>
      </c>
      <c r="L84" s="73" t="s">
        <v>204</v>
      </c>
      <c r="M84" s="73" t="s">
        <v>195</v>
      </c>
      <c r="N84" s="97">
        <v>2</v>
      </c>
      <c r="O84" s="33"/>
      <c r="P84" s="94">
        <v>0.13</v>
      </c>
      <c r="Q84" s="95" t="s">
        <v>135</v>
      </c>
      <c r="R84" s="95" t="s">
        <v>135</v>
      </c>
      <c r="S84" s="95" t="s">
        <v>135</v>
      </c>
      <c r="T84" s="96"/>
      <c r="U84" s="96"/>
      <c r="V84" s="95" t="s">
        <v>135</v>
      </c>
    </row>
    <row r="85" spans="1:22" ht="72.75" customHeight="1">
      <c r="A85" s="213"/>
      <c r="B85" s="249"/>
      <c r="C85" s="92"/>
      <c r="D85" s="102"/>
      <c r="E85" s="92"/>
      <c r="F85" s="93"/>
      <c r="G85" s="92"/>
      <c r="H85" s="93"/>
      <c r="I85" s="92"/>
      <c r="J85" s="93"/>
      <c r="K85" s="95" t="s">
        <v>294</v>
      </c>
      <c r="L85" s="73" t="s">
        <v>295</v>
      </c>
      <c r="M85" s="73" t="s">
        <v>195</v>
      </c>
      <c r="N85" s="97">
        <v>2</v>
      </c>
      <c r="O85" s="33"/>
      <c r="P85" s="94">
        <v>0.13</v>
      </c>
      <c r="Q85" s="95" t="s">
        <v>135</v>
      </c>
      <c r="R85" s="95" t="s">
        <v>135</v>
      </c>
      <c r="S85" s="95" t="s">
        <v>135</v>
      </c>
      <c r="T85" s="96"/>
      <c r="U85" s="96"/>
      <c r="V85" s="95" t="s">
        <v>135</v>
      </c>
    </row>
    <row r="86" spans="1:22" ht="42.75" customHeight="1">
      <c r="A86" s="73">
        <v>38</v>
      </c>
      <c r="B86" s="99" t="s">
        <v>296</v>
      </c>
      <c r="C86" s="96">
        <v>1.415</v>
      </c>
      <c r="D86" s="102">
        <v>8503</v>
      </c>
      <c r="E86" s="96">
        <f>C86-N86</f>
        <v>0</v>
      </c>
      <c r="F86" s="34">
        <f>E86*100/C86</f>
        <v>0</v>
      </c>
      <c r="G86" s="92">
        <f>ROUND(E86-(E86*0.08),2)+N86</f>
        <v>1.415</v>
      </c>
      <c r="H86" s="93">
        <f>G86*100/C86</f>
        <v>100</v>
      </c>
      <c r="I86" s="92">
        <f>ROUND(E86-(E86*0.016),2)+N86</f>
        <v>1.415</v>
      </c>
      <c r="J86" s="93">
        <f>I86*100/C86</f>
        <v>100</v>
      </c>
      <c r="K86" s="73" t="s">
        <v>296</v>
      </c>
      <c r="L86" s="73" t="s">
        <v>193</v>
      </c>
      <c r="M86" s="73" t="s">
        <v>26</v>
      </c>
      <c r="N86" s="96">
        <v>1.415</v>
      </c>
      <c r="O86" s="102">
        <v>8503</v>
      </c>
      <c r="P86" s="94">
        <v>7.3680000000000003</v>
      </c>
      <c r="Q86" s="95" t="s">
        <v>135</v>
      </c>
      <c r="R86" s="95" t="s">
        <v>135</v>
      </c>
      <c r="S86" s="95" t="s">
        <v>135</v>
      </c>
      <c r="T86" s="96"/>
      <c r="U86" s="96"/>
      <c r="V86" s="95" t="s">
        <v>135</v>
      </c>
    </row>
    <row r="87" spans="1:22" ht="47.25">
      <c r="A87" s="73">
        <v>39</v>
      </c>
      <c r="B87" s="99" t="s">
        <v>297</v>
      </c>
      <c r="C87" s="96">
        <v>2.11</v>
      </c>
      <c r="D87" s="102">
        <v>11077</v>
      </c>
      <c r="E87" s="96">
        <f>C87-N87</f>
        <v>1.8699999999999999</v>
      </c>
      <c r="F87" s="34">
        <f>E87*100/C87</f>
        <v>88.625592417061611</v>
      </c>
      <c r="G87" s="92">
        <f>ROUND(E87-(E87*0.08),2)+N87</f>
        <v>1.96</v>
      </c>
      <c r="H87" s="93">
        <f>G87*100/C87</f>
        <v>92.890995260663516</v>
      </c>
      <c r="I87" s="92">
        <f>ROUND(E87-(E87*0.016),2)+N87</f>
        <v>2.08</v>
      </c>
      <c r="J87" s="93">
        <f>I87*100/C87</f>
        <v>98.578199052132703</v>
      </c>
      <c r="K87" s="73" t="s">
        <v>298</v>
      </c>
      <c r="L87" s="73" t="s">
        <v>193</v>
      </c>
      <c r="M87" s="73" t="s">
        <v>26</v>
      </c>
      <c r="N87" s="96">
        <v>0.24</v>
      </c>
      <c r="O87" s="33">
        <v>1224</v>
      </c>
      <c r="P87" s="94">
        <v>1.272</v>
      </c>
      <c r="Q87" s="95" t="s">
        <v>135</v>
      </c>
      <c r="R87" s="95" t="s">
        <v>135</v>
      </c>
      <c r="S87" s="95" t="s">
        <v>135</v>
      </c>
      <c r="T87" s="96"/>
      <c r="U87" s="96"/>
      <c r="V87" s="95" t="s">
        <v>135</v>
      </c>
    </row>
    <row r="88" spans="1:22" ht="37.5" customHeight="1">
      <c r="A88" s="212"/>
      <c r="B88" s="99"/>
      <c r="C88" s="96"/>
      <c r="D88" s="102"/>
      <c r="E88" s="96"/>
      <c r="F88" s="34"/>
      <c r="G88" s="92"/>
      <c r="H88" s="93"/>
      <c r="I88" s="92"/>
      <c r="J88" s="93"/>
      <c r="K88" s="73" t="s">
        <v>299</v>
      </c>
      <c r="L88" s="73"/>
      <c r="M88" s="73"/>
      <c r="N88" s="96"/>
      <c r="O88" s="33"/>
      <c r="P88" s="94"/>
      <c r="Q88" s="95"/>
      <c r="R88" s="95"/>
      <c r="S88" s="95"/>
      <c r="T88" s="96"/>
      <c r="U88" s="96"/>
      <c r="V88" s="95"/>
    </row>
    <row r="89" spans="1:22" ht="97.5" customHeight="1">
      <c r="A89" s="213"/>
      <c r="B89" s="247" t="s">
        <v>300</v>
      </c>
      <c r="C89" s="90">
        <v>7.76</v>
      </c>
      <c r="D89" s="102">
        <v>137739</v>
      </c>
      <c r="E89" s="92">
        <v>0</v>
      </c>
      <c r="F89" s="34">
        <f>E89*100/C89</f>
        <v>0</v>
      </c>
      <c r="G89" s="89">
        <f>ROUND(E89-(E89*0.1),2)</f>
        <v>0</v>
      </c>
      <c r="H89" s="89">
        <f>G89*100/C89</f>
        <v>0</v>
      </c>
      <c r="I89" s="89">
        <f>ROUND(G89-(G89*0.1),2)</f>
        <v>0</v>
      </c>
      <c r="J89" s="34">
        <f>I89*100/C89</f>
        <v>0</v>
      </c>
      <c r="K89" s="95" t="s">
        <v>301</v>
      </c>
      <c r="L89" s="73" t="s">
        <v>216</v>
      </c>
      <c r="M89" s="73" t="s">
        <v>195</v>
      </c>
      <c r="N89" s="97">
        <v>2</v>
      </c>
      <c r="O89" s="33"/>
      <c r="P89" s="96">
        <v>0.13</v>
      </c>
      <c r="Q89" s="95"/>
      <c r="R89" s="95"/>
      <c r="S89" s="95"/>
      <c r="T89" s="96"/>
      <c r="U89" s="96"/>
      <c r="V89" s="95"/>
    </row>
    <row r="90" spans="1:22" ht="100.5" customHeight="1">
      <c r="A90" s="212"/>
      <c r="B90" s="248"/>
      <c r="C90" s="90"/>
      <c r="D90" s="102"/>
      <c r="E90" s="92"/>
      <c r="F90" s="104"/>
      <c r="G90" s="105"/>
      <c r="H90" s="105"/>
      <c r="I90" s="105"/>
      <c r="J90" s="104"/>
      <c r="K90" s="95" t="s">
        <v>302</v>
      </c>
      <c r="L90" s="73" t="s">
        <v>216</v>
      </c>
      <c r="M90" s="73" t="s">
        <v>195</v>
      </c>
      <c r="N90" s="97">
        <v>2</v>
      </c>
      <c r="O90" s="33"/>
      <c r="P90" s="96">
        <v>0.13</v>
      </c>
      <c r="Q90" s="95"/>
      <c r="R90" s="95"/>
      <c r="S90" s="95"/>
      <c r="T90" s="96"/>
      <c r="U90" s="96"/>
      <c r="V90" s="95"/>
    </row>
    <row r="91" spans="1:22" ht="97.5" customHeight="1">
      <c r="A91" s="213"/>
      <c r="B91" s="249"/>
      <c r="C91" s="90"/>
      <c r="D91" s="102"/>
      <c r="E91" s="92"/>
      <c r="F91" s="104"/>
      <c r="G91" s="105"/>
      <c r="H91" s="105"/>
      <c r="I91" s="105"/>
      <c r="J91" s="104"/>
      <c r="K91" s="95" t="s">
        <v>303</v>
      </c>
      <c r="L91" s="73" t="s">
        <v>216</v>
      </c>
      <c r="M91" s="73" t="s">
        <v>195</v>
      </c>
      <c r="N91" s="97">
        <v>2</v>
      </c>
      <c r="O91" s="33"/>
      <c r="P91" s="96">
        <v>0.13</v>
      </c>
      <c r="Q91" s="95"/>
      <c r="R91" s="95"/>
      <c r="S91" s="95"/>
      <c r="T91" s="96"/>
      <c r="U91" s="96"/>
      <c r="V91" s="95"/>
    </row>
    <row r="92" spans="1:22" ht="54.75" customHeight="1">
      <c r="A92" s="73">
        <v>40</v>
      </c>
      <c r="B92" s="99" t="s">
        <v>304</v>
      </c>
      <c r="C92" s="96">
        <v>3.169</v>
      </c>
      <c r="D92" s="106">
        <v>31690</v>
      </c>
      <c r="E92" s="96">
        <f>C92-N92</f>
        <v>0.78900000000000015</v>
      </c>
      <c r="F92" s="34">
        <f>E92*100/C92</f>
        <v>24.897443988639957</v>
      </c>
      <c r="G92" s="92">
        <f>ROUND(E92-(E92*0.08),2)+N92</f>
        <v>3.11</v>
      </c>
      <c r="H92" s="93">
        <f>G92*100/C92</f>
        <v>98.138213947617544</v>
      </c>
      <c r="I92" s="92">
        <f>ROUND(E92-(E92*0.016),2)+N92</f>
        <v>3.16</v>
      </c>
      <c r="J92" s="93">
        <f>I92*100/C92</f>
        <v>99.715998737772168</v>
      </c>
      <c r="K92" s="73" t="s">
        <v>304</v>
      </c>
      <c r="L92" s="73" t="s">
        <v>193</v>
      </c>
      <c r="M92" s="73" t="s">
        <v>26</v>
      </c>
      <c r="N92" s="96">
        <v>2.38</v>
      </c>
      <c r="O92" s="33">
        <v>17000</v>
      </c>
      <c r="P92" s="95">
        <v>15.13</v>
      </c>
      <c r="Q92" s="95" t="s">
        <v>135</v>
      </c>
      <c r="R92" s="95" t="s">
        <v>135</v>
      </c>
      <c r="S92" s="95" t="s">
        <v>135</v>
      </c>
      <c r="T92" s="96"/>
      <c r="U92" s="96"/>
      <c r="V92" s="95" t="s">
        <v>135</v>
      </c>
    </row>
    <row r="93" spans="1:22" ht="56.25" customHeight="1">
      <c r="A93" s="212">
        <v>41</v>
      </c>
      <c r="B93" s="247" t="s">
        <v>305</v>
      </c>
      <c r="C93" s="96">
        <v>8.8000000000000007</v>
      </c>
      <c r="D93" s="91">
        <v>119100</v>
      </c>
      <c r="E93" s="89">
        <v>0</v>
      </c>
      <c r="F93" s="34">
        <f>E93*100/C93</f>
        <v>0</v>
      </c>
      <c r="G93" s="92">
        <f>ROUND(E93-(E93*0.08),2)+N93</f>
        <v>8.1999999999999993</v>
      </c>
      <c r="H93" s="93">
        <f>G93*100/C93</f>
        <v>93.181818181818159</v>
      </c>
      <c r="I93" s="89">
        <f>ROUND(G93-(G93*0.2),2)</f>
        <v>6.56</v>
      </c>
      <c r="J93" s="93">
        <f>I93*100/C93</f>
        <v>74.545454545454533</v>
      </c>
      <c r="K93" s="73" t="s">
        <v>305</v>
      </c>
      <c r="L93" s="73" t="s">
        <v>193</v>
      </c>
      <c r="M93" s="73" t="s">
        <v>26</v>
      </c>
      <c r="N93" s="96">
        <v>8.1999999999999993</v>
      </c>
      <c r="O93" s="33">
        <v>110700</v>
      </c>
      <c r="P93" s="94">
        <v>101.86</v>
      </c>
      <c r="Q93" s="95" t="s">
        <v>135</v>
      </c>
      <c r="R93" s="95" t="s">
        <v>135</v>
      </c>
      <c r="S93" s="95" t="s">
        <v>135</v>
      </c>
      <c r="T93" s="96"/>
      <c r="U93" s="96"/>
      <c r="V93" s="95" t="s">
        <v>135</v>
      </c>
    </row>
    <row r="94" spans="1:22" ht="98.25" customHeight="1">
      <c r="A94" s="226"/>
      <c r="B94" s="248"/>
      <c r="C94" s="92"/>
      <c r="D94" s="91"/>
      <c r="E94" s="92"/>
      <c r="F94" s="93"/>
      <c r="G94" s="92"/>
      <c r="H94" s="92"/>
      <c r="I94" s="92"/>
      <c r="J94" s="93"/>
      <c r="K94" s="95" t="s">
        <v>306</v>
      </c>
      <c r="L94" s="73" t="s">
        <v>216</v>
      </c>
      <c r="M94" s="73" t="s">
        <v>195</v>
      </c>
      <c r="N94" s="97">
        <v>2</v>
      </c>
      <c r="O94" s="33"/>
      <c r="P94" s="94">
        <v>0.13</v>
      </c>
      <c r="Q94" s="95"/>
      <c r="R94" s="95"/>
      <c r="S94" s="95"/>
      <c r="T94" s="96"/>
      <c r="U94" s="96"/>
      <c r="V94" s="95"/>
    </row>
    <row r="95" spans="1:22" ht="86.25" customHeight="1">
      <c r="A95" s="213"/>
      <c r="B95" s="248"/>
      <c r="C95" s="92"/>
      <c r="D95" s="91"/>
      <c r="E95" s="92"/>
      <c r="F95" s="93"/>
      <c r="G95" s="92"/>
      <c r="H95" s="92"/>
      <c r="I95" s="92"/>
      <c r="J95" s="93"/>
      <c r="K95" s="95" t="s">
        <v>307</v>
      </c>
      <c r="L95" s="73" t="s">
        <v>308</v>
      </c>
      <c r="M95" s="73" t="s">
        <v>26</v>
      </c>
      <c r="N95" s="96">
        <v>0.2</v>
      </c>
      <c r="O95" s="33"/>
      <c r="P95" s="94">
        <v>0.443</v>
      </c>
      <c r="Q95" s="95"/>
      <c r="R95" s="95"/>
      <c r="S95" s="95"/>
      <c r="T95" s="96"/>
      <c r="U95" s="96"/>
      <c r="V95" s="95"/>
    </row>
    <row r="96" spans="1:22" ht="100.5" customHeight="1">
      <c r="A96" s="130"/>
      <c r="B96" s="249"/>
      <c r="C96" s="92"/>
      <c r="D96" s="91"/>
      <c r="E96" s="92"/>
      <c r="F96" s="93"/>
      <c r="G96" s="92"/>
      <c r="H96" s="92"/>
      <c r="I96" s="92"/>
      <c r="J96" s="93"/>
      <c r="K96" s="135"/>
      <c r="L96" s="73" t="s">
        <v>216</v>
      </c>
      <c r="M96" s="73" t="s">
        <v>195</v>
      </c>
      <c r="N96" s="97">
        <v>2</v>
      </c>
      <c r="O96" s="33"/>
      <c r="P96" s="94">
        <v>0.13</v>
      </c>
      <c r="Q96" s="95"/>
      <c r="R96" s="95"/>
      <c r="S96" s="95"/>
      <c r="T96" s="96"/>
      <c r="U96" s="96"/>
      <c r="V96" s="95"/>
    </row>
    <row r="97" spans="1:22" ht="104.25" customHeight="1">
      <c r="A97" s="212">
        <v>42</v>
      </c>
      <c r="B97" s="247" t="s">
        <v>309</v>
      </c>
      <c r="C97" s="96">
        <v>6.8490000000000002</v>
      </c>
      <c r="D97" s="91">
        <v>154102</v>
      </c>
      <c r="E97" s="92">
        <v>6.8490000000000002</v>
      </c>
      <c r="F97" s="93">
        <f>E97*100/C97</f>
        <v>100</v>
      </c>
      <c r="G97" s="92">
        <f>ROUND(E97-(E97*0.1),2)</f>
        <v>6.16</v>
      </c>
      <c r="H97" s="93">
        <f>G97*100/C97</f>
        <v>89.940137246313327</v>
      </c>
      <c r="I97" s="92">
        <f>ROUND(G97-(G97*0.1),2)</f>
        <v>5.54</v>
      </c>
      <c r="J97" s="93">
        <f>I97*100/C97</f>
        <v>80.887720835158419</v>
      </c>
      <c r="K97" s="95" t="s">
        <v>310</v>
      </c>
      <c r="L97" s="73" t="s">
        <v>216</v>
      </c>
      <c r="M97" s="73" t="s">
        <v>195</v>
      </c>
      <c r="N97" s="97">
        <v>2</v>
      </c>
      <c r="O97" s="33"/>
      <c r="P97" s="94">
        <v>0.13</v>
      </c>
      <c r="Q97" s="95"/>
      <c r="R97" s="95"/>
      <c r="S97" s="95"/>
      <c r="T97" s="96"/>
      <c r="U97" s="96"/>
      <c r="V97" s="95"/>
    </row>
    <row r="98" spans="1:22" ht="102" customHeight="1">
      <c r="A98" s="226"/>
      <c r="B98" s="248"/>
      <c r="C98" s="90"/>
      <c r="D98" s="91"/>
      <c r="E98" s="92"/>
      <c r="F98" s="93"/>
      <c r="G98" s="92"/>
      <c r="H98" s="93"/>
      <c r="I98" s="92"/>
      <c r="J98" s="93"/>
      <c r="K98" s="95" t="s">
        <v>311</v>
      </c>
      <c r="L98" s="73" t="s">
        <v>216</v>
      </c>
      <c r="M98" s="73" t="s">
        <v>195</v>
      </c>
      <c r="N98" s="97">
        <v>2</v>
      </c>
      <c r="O98" s="33"/>
      <c r="P98" s="94">
        <v>0.13</v>
      </c>
      <c r="Q98" s="95"/>
      <c r="R98" s="95"/>
      <c r="S98" s="95"/>
      <c r="T98" s="96"/>
      <c r="U98" s="96"/>
      <c r="V98" s="95"/>
    </row>
    <row r="99" spans="1:22" ht="102" customHeight="1">
      <c r="A99" s="213"/>
      <c r="B99" s="249"/>
      <c r="C99" s="90"/>
      <c r="D99" s="91"/>
      <c r="E99" s="92"/>
      <c r="F99" s="93"/>
      <c r="G99" s="92"/>
      <c r="H99" s="93"/>
      <c r="I99" s="92"/>
      <c r="J99" s="93"/>
      <c r="K99" s="95" t="s">
        <v>312</v>
      </c>
      <c r="L99" s="73" t="s">
        <v>216</v>
      </c>
      <c r="M99" s="73" t="s">
        <v>195</v>
      </c>
      <c r="N99" s="97">
        <v>2</v>
      </c>
      <c r="O99" s="33"/>
      <c r="P99" s="94">
        <v>0.13</v>
      </c>
      <c r="Q99" s="95"/>
      <c r="R99" s="95"/>
      <c r="S99" s="95"/>
      <c r="T99" s="96"/>
      <c r="U99" s="96"/>
      <c r="V99" s="95"/>
    </row>
    <row r="100" spans="1:22" ht="49.5" customHeight="1">
      <c r="A100" s="73">
        <v>43</v>
      </c>
      <c r="B100" s="99" t="s">
        <v>313</v>
      </c>
      <c r="C100" s="96">
        <v>1.454</v>
      </c>
      <c r="D100" s="102">
        <v>21810</v>
      </c>
      <c r="E100" s="96">
        <f>C100-N100</f>
        <v>0.32299999999999995</v>
      </c>
      <c r="F100" s="34">
        <f>E100*100/C100</f>
        <v>22.214580467675376</v>
      </c>
      <c r="G100" s="92">
        <f>ROUND(E100-(E100*0.08),2)+N100</f>
        <v>1.431</v>
      </c>
      <c r="H100" s="93">
        <f>G100*100/C100</f>
        <v>98.418156808803303</v>
      </c>
      <c r="I100" s="92">
        <f>ROUND(E100-(E100*0.016),2)+N100</f>
        <v>1.4510000000000001</v>
      </c>
      <c r="J100" s="93">
        <f>I100*100/C100</f>
        <v>99.79367262723521</v>
      </c>
      <c r="K100" s="73" t="s">
        <v>314</v>
      </c>
      <c r="L100" s="73" t="s">
        <v>193</v>
      </c>
      <c r="M100" s="73" t="s">
        <v>26</v>
      </c>
      <c r="N100" s="96">
        <v>1.131</v>
      </c>
      <c r="O100" s="33">
        <v>16965</v>
      </c>
      <c r="P100" s="94">
        <v>12.919</v>
      </c>
      <c r="Q100" s="95" t="s">
        <v>135</v>
      </c>
      <c r="R100" s="95" t="s">
        <v>135</v>
      </c>
      <c r="S100" s="95" t="s">
        <v>135</v>
      </c>
      <c r="T100" s="96"/>
      <c r="U100" s="96"/>
      <c r="V100" s="95" t="s">
        <v>135</v>
      </c>
    </row>
    <row r="101" spans="1:22" ht="42.75" customHeight="1">
      <c r="A101" s="73">
        <v>44</v>
      </c>
      <c r="B101" s="99" t="s">
        <v>315</v>
      </c>
      <c r="C101" s="96">
        <v>3.7</v>
      </c>
      <c r="D101" s="102">
        <v>49950</v>
      </c>
      <c r="E101" s="96">
        <f>C101-N101</f>
        <v>0</v>
      </c>
      <c r="F101" s="34">
        <f>E101*100/C101</f>
        <v>0</v>
      </c>
      <c r="G101" s="92">
        <f>ROUND(E101-(E101*0.08),2)+N101</f>
        <v>3.7</v>
      </c>
      <c r="H101" s="93">
        <f>G101*100/C101</f>
        <v>100</v>
      </c>
      <c r="I101" s="92">
        <f>ROUND(E101-(E101*0.016),2)+N101</f>
        <v>3.7</v>
      </c>
      <c r="J101" s="93">
        <f>I101*100/C101</f>
        <v>100</v>
      </c>
      <c r="K101" s="73" t="s">
        <v>315</v>
      </c>
      <c r="L101" s="73" t="s">
        <v>193</v>
      </c>
      <c r="M101" s="73" t="s">
        <v>26</v>
      </c>
      <c r="N101" s="96">
        <v>3.7</v>
      </c>
      <c r="O101" s="33">
        <v>49950</v>
      </c>
      <c r="P101" s="94">
        <v>44.362000000000002</v>
      </c>
      <c r="Q101" s="95" t="s">
        <v>135</v>
      </c>
      <c r="R101" s="95" t="s">
        <v>135</v>
      </c>
      <c r="S101" s="95" t="s">
        <v>135</v>
      </c>
      <c r="T101" s="96"/>
      <c r="U101" s="96"/>
      <c r="V101" s="95" t="s">
        <v>135</v>
      </c>
    </row>
    <row r="102" spans="1:22" ht="53.25" customHeight="1">
      <c r="A102" s="73">
        <v>45</v>
      </c>
      <c r="B102" s="99" t="s">
        <v>316</v>
      </c>
      <c r="C102" s="96">
        <v>1.9</v>
      </c>
      <c r="D102" s="102">
        <v>10450</v>
      </c>
      <c r="E102" s="96">
        <f>C102-N102</f>
        <v>0.28299999999999992</v>
      </c>
      <c r="F102" s="34">
        <f>E102*100/C102</f>
        <v>14.894736842105258</v>
      </c>
      <c r="G102" s="92">
        <f>ROUND(E102-(E102*0.08),2)+N102</f>
        <v>1.877</v>
      </c>
      <c r="H102" s="93">
        <f>G102*100/C102</f>
        <v>98.78947368421052</v>
      </c>
      <c r="I102" s="92">
        <f>ROUND(E102-(E102*0.016),2)+N102</f>
        <v>1.897</v>
      </c>
      <c r="J102" s="93">
        <f>I102*100/C102</f>
        <v>99.84210526315789</v>
      </c>
      <c r="K102" s="73" t="s">
        <v>317</v>
      </c>
      <c r="L102" s="73" t="s">
        <v>193</v>
      </c>
      <c r="M102" s="73" t="s">
        <v>26</v>
      </c>
      <c r="N102" s="96">
        <v>1.617</v>
      </c>
      <c r="O102" s="33">
        <v>15369</v>
      </c>
      <c r="P102" s="94">
        <v>15.385999999999999</v>
      </c>
      <c r="Q102" s="95" t="s">
        <v>135</v>
      </c>
      <c r="R102" s="95" t="s">
        <v>135</v>
      </c>
      <c r="S102" s="95" t="s">
        <v>135</v>
      </c>
      <c r="T102" s="96"/>
      <c r="U102" s="96"/>
      <c r="V102" s="95" t="s">
        <v>135</v>
      </c>
    </row>
    <row r="103" spans="1:22" ht="60.75" customHeight="1">
      <c r="A103" s="212">
        <v>46</v>
      </c>
      <c r="B103" s="247" t="s">
        <v>318</v>
      </c>
      <c r="C103" s="96">
        <v>4.13</v>
      </c>
      <c r="D103" s="91">
        <v>49560</v>
      </c>
      <c r="E103" s="89">
        <f>C103-N103</f>
        <v>0</v>
      </c>
      <c r="F103" s="34">
        <f>E103*100/C103</f>
        <v>0</v>
      </c>
      <c r="G103" s="92">
        <f>ROUND(E103-(E103*0.08),2)+N103</f>
        <v>4.13</v>
      </c>
      <c r="H103" s="93">
        <f>G103*100/C103</f>
        <v>100</v>
      </c>
      <c r="I103" s="92">
        <f>ROUND(E103-(E103*0.016),2)+N103</f>
        <v>4.13</v>
      </c>
      <c r="J103" s="93">
        <f>I103*100/C103</f>
        <v>100</v>
      </c>
      <c r="K103" s="73" t="s">
        <v>318</v>
      </c>
      <c r="L103" s="73" t="s">
        <v>193</v>
      </c>
      <c r="M103" s="73" t="s">
        <v>26</v>
      </c>
      <c r="N103" s="96">
        <v>4.13</v>
      </c>
      <c r="O103" s="33">
        <v>49560</v>
      </c>
      <c r="P103" s="94">
        <v>48.783000000000001</v>
      </c>
      <c r="Q103" s="95" t="s">
        <v>135</v>
      </c>
      <c r="R103" s="95" t="s">
        <v>135</v>
      </c>
      <c r="S103" s="95" t="s">
        <v>135</v>
      </c>
      <c r="T103" s="96"/>
      <c r="U103" s="96"/>
      <c r="V103" s="95" t="s">
        <v>135</v>
      </c>
    </row>
    <row r="104" spans="1:22" ht="99" customHeight="1">
      <c r="A104" s="213"/>
      <c r="B104" s="249"/>
      <c r="C104" s="92"/>
      <c r="D104" s="91"/>
      <c r="E104" s="92"/>
      <c r="F104" s="93"/>
      <c r="G104" s="92"/>
      <c r="H104" s="93"/>
      <c r="I104" s="92"/>
      <c r="J104" s="93"/>
      <c r="K104" s="95" t="s">
        <v>319</v>
      </c>
      <c r="L104" s="73" t="s">
        <v>216</v>
      </c>
      <c r="M104" s="73" t="s">
        <v>195</v>
      </c>
      <c r="N104" s="97">
        <v>2</v>
      </c>
      <c r="O104" s="33"/>
      <c r="P104" s="94">
        <v>0.13</v>
      </c>
      <c r="Q104" s="95"/>
      <c r="R104" s="95"/>
      <c r="S104" s="95"/>
      <c r="T104" s="96"/>
      <c r="U104" s="96"/>
      <c r="V104" s="95"/>
    </row>
    <row r="105" spans="1:22" ht="55.5" customHeight="1">
      <c r="A105" s="73">
        <v>47</v>
      </c>
      <c r="B105" s="99" t="s">
        <v>320</v>
      </c>
      <c r="C105" s="96">
        <v>3.1</v>
      </c>
      <c r="D105" s="102">
        <v>78079</v>
      </c>
      <c r="E105" s="96">
        <f>C105-N105</f>
        <v>1.669</v>
      </c>
      <c r="F105" s="34">
        <f t="shared" ref="F105:F108" si="11">E105*100/C105</f>
        <v>53.838709677419352</v>
      </c>
      <c r="G105" s="92">
        <f>ROUND(E105-(E105*0.08),2)+N105</f>
        <v>2.9710000000000001</v>
      </c>
      <c r="H105" s="93">
        <f>G105*100/C105</f>
        <v>95.838709677419359</v>
      </c>
      <c r="I105" s="92">
        <f>ROUND(E105-(E105*0.016),2)+N105</f>
        <v>3.0709999999999997</v>
      </c>
      <c r="J105" s="93">
        <f>I105*100/C105</f>
        <v>99.064516129032242</v>
      </c>
      <c r="K105" s="73" t="s">
        <v>321</v>
      </c>
      <c r="L105" s="73" t="s">
        <v>193</v>
      </c>
      <c r="M105" s="73" t="s">
        <v>26</v>
      </c>
      <c r="N105" s="96">
        <v>1.431</v>
      </c>
      <c r="O105" s="33">
        <v>29209</v>
      </c>
      <c r="P105" s="94">
        <v>23.292999999999999</v>
      </c>
      <c r="Q105" s="95" t="s">
        <v>135</v>
      </c>
      <c r="R105" s="95" t="s">
        <v>135</v>
      </c>
      <c r="S105" s="95" t="s">
        <v>135</v>
      </c>
      <c r="T105" s="96"/>
      <c r="U105" s="96"/>
      <c r="V105" s="95" t="s">
        <v>135</v>
      </c>
    </row>
    <row r="106" spans="1:22" ht="53.25" customHeight="1">
      <c r="A106" s="73">
        <v>48</v>
      </c>
      <c r="B106" s="99" t="s">
        <v>322</v>
      </c>
      <c r="C106" s="96">
        <v>4.1390000000000002</v>
      </c>
      <c r="D106" s="102">
        <v>67935</v>
      </c>
      <c r="E106" s="96">
        <f>C106-N106</f>
        <v>0</v>
      </c>
      <c r="F106" s="34">
        <f t="shared" si="11"/>
        <v>0</v>
      </c>
      <c r="G106" s="89">
        <f>ROUND(E106-(E106*0.1),2)+N106</f>
        <v>4.1390000000000002</v>
      </c>
      <c r="H106" s="34">
        <f t="shared" ref="H106" si="12">G106*100/C106</f>
        <v>100</v>
      </c>
      <c r="I106" s="89">
        <f>ROUND(E106-(E106*0.2),2)+N106</f>
        <v>4.1390000000000002</v>
      </c>
      <c r="J106" s="34">
        <f t="shared" ref="J106" si="13">I106*100/C106</f>
        <v>100</v>
      </c>
      <c r="K106" s="73" t="s">
        <v>322</v>
      </c>
      <c r="L106" s="73" t="s">
        <v>193</v>
      </c>
      <c r="M106" s="73" t="s">
        <v>26</v>
      </c>
      <c r="N106" s="96">
        <v>4.1390000000000002</v>
      </c>
      <c r="O106" s="102">
        <v>67935</v>
      </c>
      <c r="P106" s="94">
        <v>60.136000000000003</v>
      </c>
      <c r="Q106" s="95" t="s">
        <v>135</v>
      </c>
      <c r="R106" s="95" t="s">
        <v>135</v>
      </c>
      <c r="S106" s="95" t="s">
        <v>135</v>
      </c>
      <c r="T106" s="96"/>
      <c r="U106" s="96"/>
      <c r="V106" s="95" t="s">
        <v>135</v>
      </c>
    </row>
    <row r="107" spans="1:22" ht="63">
      <c r="A107" s="73">
        <v>49</v>
      </c>
      <c r="B107" s="99" t="s">
        <v>323</v>
      </c>
      <c r="C107" s="73">
        <v>2.8</v>
      </c>
      <c r="D107" s="102">
        <v>9800</v>
      </c>
      <c r="E107" s="96">
        <f>C107-N107</f>
        <v>1.4699999999999998</v>
      </c>
      <c r="F107" s="34">
        <f t="shared" si="11"/>
        <v>52.499999999999993</v>
      </c>
      <c r="G107" s="92">
        <f>ROUND(E107-(E107*0.08),2)+N107</f>
        <v>2.68</v>
      </c>
      <c r="H107" s="93">
        <f>G107*100/C107</f>
        <v>95.714285714285722</v>
      </c>
      <c r="I107" s="92">
        <f>ROUND(E107-(E107*0.016),2)+N107</f>
        <v>2.7800000000000002</v>
      </c>
      <c r="J107" s="93">
        <f>I107*100/C107</f>
        <v>99.285714285714292</v>
      </c>
      <c r="K107" s="73" t="s">
        <v>324</v>
      </c>
      <c r="L107" s="73" t="s">
        <v>193</v>
      </c>
      <c r="M107" s="73" t="s">
        <v>26</v>
      </c>
      <c r="N107" s="96">
        <v>1.33</v>
      </c>
      <c r="O107" s="33">
        <v>57431</v>
      </c>
      <c r="P107" s="94">
        <v>49.052999999999997</v>
      </c>
      <c r="Q107" s="95" t="s">
        <v>135</v>
      </c>
      <c r="R107" s="95" t="s">
        <v>135</v>
      </c>
      <c r="S107" s="95" t="s">
        <v>135</v>
      </c>
      <c r="T107" s="95" t="s">
        <v>135</v>
      </c>
      <c r="U107" s="95" t="s">
        <v>135</v>
      </c>
      <c r="V107" s="95" t="s">
        <v>135</v>
      </c>
    </row>
    <row r="108" spans="1:22">
      <c r="A108" s="216">
        <v>50</v>
      </c>
      <c r="B108" s="261" t="s">
        <v>325</v>
      </c>
      <c r="C108" s="90">
        <v>0.81200000000000006</v>
      </c>
      <c r="D108" s="107">
        <v>15428</v>
      </c>
      <c r="E108" s="92">
        <v>0</v>
      </c>
      <c r="F108" s="93">
        <f t="shared" si="11"/>
        <v>0</v>
      </c>
      <c r="G108" s="92">
        <v>0</v>
      </c>
      <c r="H108" s="93">
        <v>0</v>
      </c>
      <c r="I108" s="92">
        <v>0</v>
      </c>
      <c r="J108" s="93">
        <v>0</v>
      </c>
      <c r="K108" s="253" t="s">
        <v>326</v>
      </c>
      <c r="L108" s="216" t="s">
        <v>327</v>
      </c>
      <c r="M108" s="257" t="s">
        <v>26</v>
      </c>
      <c r="N108" s="257">
        <v>0.04</v>
      </c>
      <c r="O108" s="254"/>
      <c r="P108" s="263">
        <v>8.8599999999999998E-2</v>
      </c>
      <c r="Q108" s="223" t="s">
        <v>135</v>
      </c>
      <c r="R108" s="223" t="s">
        <v>135</v>
      </c>
      <c r="S108" s="223" t="s">
        <v>135</v>
      </c>
      <c r="T108" s="257" t="s">
        <v>135</v>
      </c>
      <c r="U108" s="257" t="s">
        <v>135</v>
      </c>
      <c r="V108" s="223" t="s">
        <v>135</v>
      </c>
    </row>
    <row r="109" spans="1:22" ht="107.25" customHeight="1">
      <c r="A109" s="216"/>
      <c r="B109" s="261"/>
      <c r="C109" s="90"/>
      <c r="D109" s="107"/>
      <c r="E109" s="92"/>
      <c r="F109" s="93"/>
      <c r="G109" s="92"/>
      <c r="H109" s="93"/>
      <c r="I109" s="92"/>
      <c r="J109" s="93"/>
      <c r="K109" s="253"/>
      <c r="L109" s="216"/>
      <c r="M109" s="258"/>
      <c r="N109" s="258"/>
      <c r="O109" s="256"/>
      <c r="P109" s="264"/>
      <c r="Q109" s="225"/>
      <c r="R109" s="225"/>
      <c r="S109" s="225"/>
      <c r="T109" s="262"/>
      <c r="U109" s="262"/>
      <c r="V109" s="225"/>
    </row>
    <row r="110" spans="1:22" ht="54" customHeight="1">
      <c r="A110" s="73">
        <v>51</v>
      </c>
      <c r="B110" s="99" t="s">
        <v>328</v>
      </c>
      <c r="C110" s="89">
        <v>3.3</v>
      </c>
      <c r="D110" s="102">
        <v>39600</v>
      </c>
      <c r="E110" s="34">
        <v>0</v>
      </c>
      <c r="F110" s="34">
        <f>E110*100/C110</f>
        <v>0</v>
      </c>
      <c r="G110" s="89">
        <f>ROUND(E110-(E110*0.1),2)+N110</f>
        <v>1.405</v>
      </c>
      <c r="H110" s="34">
        <f>G110*100/C110</f>
        <v>42.575757575757578</v>
      </c>
      <c r="I110" s="89">
        <f>ROUND(E110-(E110*0.2),2)+N110</f>
        <v>1.405</v>
      </c>
      <c r="J110" s="34">
        <f>I110*100/C110</f>
        <v>42.575757575757578</v>
      </c>
      <c r="K110" s="73" t="s">
        <v>329</v>
      </c>
      <c r="L110" s="73" t="s">
        <v>193</v>
      </c>
      <c r="M110" s="73" t="s">
        <v>26</v>
      </c>
      <c r="N110" s="96">
        <v>1.405</v>
      </c>
      <c r="O110" s="33">
        <v>19511</v>
      </c>
      <c r="P110" s="95">
        <v>20.312000000000001</v>
      </c>
      <c r="Q110" s="95" t="s">
        <v>135</v>
      </c>
      <c r="R110" s="95" t="s">
        <v>135</v>
      </c>
      <c r="S110" s="95" t="s">
        <v>135</v>
      </c>
      <c r="T110" s="95" t="s">
        <v>135</v>
      </c>
      <c r="U110" s="95" t="s">
        <v>135</v>
      </c>
      <c r="V110" s="95" t="s">
        <v>135</v>
      </c>
    </row>
    <row r="111" spans="1:22" ht="54.75" customHeight="1">
      <c r="A111" s="73">
        <v>52</v>
      </c>
      <c r="B111" s="247" t="s">
        <v>330</v>
      </c>
      <c r="C111" s="73">
        <v>11.97</v>
      </c>
      <c r="D111" s="102">
        <v>161595</v>
      </c>
      <c r="E111" s="92">
        <v>0</v>
      </c>
      <c r="F111" s="93">
        <f>E111*100/C111</f>
        <v>0</v>
      </c>
      <c r="G111" s="92">
        <f>ROUND(E111-(E111*0.1),2)</f>
        <v>0</v>
      </c>
      <c r="H111" s="93">
        <f>G111*100/C111</f>
        <v>0</v>
      </c>
      <c r="I111" s="92">
        <f>ROUND(G111-(G111*0.1),2)+T111</f>
        <v>11.97</v>
      </c>
      <c r="J111" s="93">
        <f>I111*100/C111</f>
        <v>100</v>
      </c>
      <c r="K111" s="95" t="s">
        <v>135</v>
      </c>
      <c r="L111" s="95" t="s">
        <v>135</v>
      </c>
      <c r="M111" s="95" t="s">
        <v>135</v>
      </c>
      <c r="N111" s="95"/>
      <c r="O111" s="98"/>
      <c r="P111" s="94" t="s">
        <v>135</v>
      </c>
      <c r="Q111" s="108" t="s">
        <v>330</v>
      </c>
      <c r="R111" s="73" t="s">
        <v>193</v>
      </c>
      <c r="S111" s="73" t="s">
        <v>26</v>
      </c>
      <c r="T111" s="109">
        <v>11.97</v>
      </c>
      <c r="U111" s="110">
        <v>161595</v>
      </c>
      <c r="V111" s="109">
        <v>184.97300000000001</v>
      </c>
    </row>
    <row r="112" spans="1:22" ht="119.25" customHeight="1">
      <c r="A112" s="90"/>
      <c r="B112" s="248"/>
      <c r="C112" s="90"/>
      <c r="D112" s="102"/>
      <c r="E112" s="92"/>
      <c r="F112" s="93"/>
      <c r="G112" s="92"/>
      <c r="H112" s="93"/>
      <c r="I112" s="92"/>
      <c r="J112" s="93"/>
      <c r="K112" s="95" t="s">
        <v>331</v>
      </c>
      <c r="L112" s="73" t="s">
        <v>332</v>
      </c>
      <c r="M112" s="73" t="s">
        <v>195</v>
      </c>
      <c r="N112" s="97">
        <v>1</v>
      </c>
      <c r="O112" s="33"/>
      <c r="P112" s="94">
        <v>0.13500000000000001</v>
      </c>
      <c r="Q112" s="108"/>
      <c r="R112" s="108"/>
      <c r="S112" s="92"/>
      <c r="T112" s="109"/>
      <c r="U112" s="110"/>
      <c r="V112" s="109"/>
    </row>
    <row r="113" spans="1:22" ht="118.5" customHeight="1">
      <c r="A113" s="90"/>
      <c r="B113" s="249"/>
      <c r="C113" s="90"/>
      <c r="D113" s="102"/>
      <c r="E113" s="92"/>
      <c r="F113" s="93"/>
      <c r="G113" s="92"/>
      <c r="H113" s="93"/>
      <c r="I113" s="92"/>
      <c r="J113" s="93"/>
      <c r="K113" s="95" t="s">
        <v>333</v>
      </c>
      <c r="L113" s="73" t="s">
        <v>334</v>
      </c>
      <c r="M113" s="73" t="s">
        <v>195</v>
      </c>
      <c r="N113" s="97">
        <v>3</v>
      </c>
      <c r="O113" s="33"/>
      <c r="P113" s="94">
        <v>1.008</v>
      </c>
      <c r="Q113" s="108"/>
      <c r="R113" s="108"/>
      <c r="S113" s="92"/>
      <c r="T113" s="109"/>
      <c r="U113" s="110"/>
      <c r="V113" s="109"/>
    </row>
    <row r="114" spans="1:22" ht="66" customHeight="1">
      <c r="A114" s="260">
        <v>53</v>
      </c>
      <c r="B114" s="247" t="s">
        <v>335</v>
      </c>
      <c r="C114" s="73">
        <v>4.57</v>
      </c>
      <c r="D114" s="102">
        <v>66564</v>
      </c>
      <c r="E114" s="89">
        <f>C114-N114</f>
        <v>3.2760000000000002</v>
      </c>
      <c r="F114" s="34">
        <f>E114*100/C114</f>
        <v>71.68490153172867</v>
      </c>
      <c r="G114" s="92">
        <f>ROUND(E114-(E114*0.08),2)+N114</f>
        <v>4.3040000000000003</v>
      </c>
      <c r="H114" s="93">
        <f>G114*100/C114</f>
        <v>94.179431072210065</v>
      </c>
      <c r="I114" s="92">
        <f>ROUND(E114-(E114*0.016),2)+N114</f>
        <v>4.5140000000000002</v>
      </c>
      <c r="J114" s="93">
        <f>I114*100/C114</f>
        <v>98.774617067833702</v>
      </c>
      <c r="K114" s="73" t="s">
        <v>336</v>
      </c>
      <c r="L114" s="73" t="s">
        <v>193</v>
      </c>
      <c r="M114" s="73" t="s">
        <v>26</v>
      </c>
      <c r="N114" s="96">
        <v>1.294</v>
      </c>
      <c r="O114" s="33">
        <v>21948</v>
      </c>
      <c r="P114" s="95">
        <v>18.812999999999999</v>
      </c>
      <c r="Q114" s="95" t="s">
        <v>135</v>
      </c>
      <c r="R114" s="95" t="s">
        <v>135</v>
      </c>
      <c r="S114" s="95" t="s">
        <v>135</v>
      </c>
      <c r="T114" s="96"/>
      <c r="U114" s="96"/>
      <c r="V114" s="95" t="s">
        <v>135</v>
      </c>
    </row>
    <row r="115" spans="1:22" ht="74.25" customHeight="1">
      <c r="A115" s="260"/>
      <c r="B115" s="248"/>
      <c r="C115" s="90"/>
      <c r="D115" s="102"/>
      <c r="E115" s="90"/>
      <c r="F115" s="93"/>
      <c r="G115" s="90"/>
      <c r="H115" s="90"/>
      <c r="I115" s="90"/>
      <c r="J115" s="90"/>
      <c r="K115" s="95" t="s">
        <v>337</v>
      </c>
      <c r="L115" s="73" t="s">
        <v>233</v>
      </c>
      <c r="M115" s="73" t="s">
        <v>195</v>
      </c>
      <c r="N115" s="97">
        <v>2</v>
      </c>
      <c r="O115" s="33"/>
      <c r="P115" s="94">
        <v>0.13</v>
      </c>
      <c r="Q115" s="95" t="s">
        <v>135</v>
      </c>
      <c r="R115" s="95" t="s">
        <v>135</v>
      </c>
      <c r="S115" s="95" t="s">
        <v>135</v>
      </c>
      <c r="T115" s="96"/>
      <c r="U115" s="96"/>
      <c r="V115" s="95" t="s">
        <v>135</v>
      </c>
    </row>
    <row r="116" spans="1:22" ht="106.5" customHeight="1">
      <c r="A116" s="129"/>
      <c r="B116" s="248"/>
      <c r="C116" s="90"/>
      <c r="D116" s="102"/>
      <c r="E116" s="90"/>
      <c r="F116" s="93"/>
      <c r="G116" s="90"/>
      <c r="H116" s="90"/>
      <c r="I116" s="90"/>
      <c r="J116" s="90"/>
      <c r="K116" s="136"/>
      <c r="L116" s="73" t="s">
        <v>338</v>
      </c>
      <c r="M116" s="73" t="s">
        <v>195</v>
      </c>
      <c r="N116" s="97">
        <v>2</v>
      </c>
      <c r="O116" s="33"/>
      <c r="P116" s="94">
        <v>0.67200000000000004</v>
      </c>
      <c r="Q116" s="95" t="s">
        <v>135</v>
      </c>
      <c r="R116" s="95" t="s">
        <v>135</v>
      </c>
      <c r="S116" s="95" t="s">
        <v>135</v>
      </c>
      <c r="T116" s="96"/>
      <c r="U116" s="96"/>
      <c r="V116" s="95" t="s">
        <v>135</v>
      </c>
    </row>
    <row r="117" spans="1:22" ht="120.75" customHeight="1">
      <c r="A117" s="129"/>
      <c r="B117" s="248"/>
      <c r="C117" s="90"/>
      <c r="D117" s="102"/>
      <c r="E117" s="90"/>
      <c r="F117" s="93"/>
      <c r="G117" s="90"/>
      <c r="H117" s="90"/>
      <c r="I117" s="90"/>
      <c r="J117" s="90"/>
      <c r="K117" s="134"/>
      <c r="L117" s="73" t="s">
        <v>339</v>
      </c>
      <c r="M117" s="73" t="s">
        <v>26</v>
      </c>
      <c r="N117" s="96">
        <v>0.1</v>
      </c>
      <c r="O117" s="33"/>
      <c r="P117" s="94">
        <v>0.2215</v>
      </c>
      <c r="Q117" s="95" t="s">
        <v>135</v>
      </c>
      <c r="R117" s="95" t="s">
        <v>135</v>
      </c>
      <c r="S117" s="95" t="s">
        <v>135</v>
      </c>
      <c r="T117" s="96"/>
      <c r="U117" s="96"/>
      <c r="V117" s="95" t="s">
        <v>135</v>
      </c>
    </row>
    <row r="118" spans="1:22" ht="72" customHeight="1">
      <c r="A118" s="129"/>
      <c r="B118" s="248"/>
      <c r="C118" s="90"/>
      <c r="D118" s="102"/>
      <c r="E118" s="90"/>
      <c r="F118" s="93"/>
      <c r="G118" s="90"/>
      <c r="H118" s="90"/>
      <c r="I118" s="90"/>
      <c r="J118" s="90"/>
      <c r="K118" s="223" t="s">
        <v>340</v>
      </c>
      <c r="L118" s="73" t="s">
        <v>233</v>
      </c>
      <c r="M118" s="73" t="s">
        <v>195</v>
      </c>
      <c r="N118" s="97">
        <v>2</v>
      </c>
      <c r="O118" s="33"/>
      <c r="P118" s="94">
        <v>0.13</v>
      </c>
      <c r="Q118" s="95" t="s">
        <v>135</v>
      </c>
      <c r="R118" s="95" t="s">
        <v>135</v>
      </c>
      <c r="S118" s="95" t="s">
        <v>135</v>
      </c>
      <c r="T118" s="96"/>
      <c r="U118" s="96"/>
      <c r="V118" s="95" t="s">
        <v>135</v>
      </c>
    </row>
    <row r="119" spans="1:22" ht="108" customHeight="1">
      <c r="A119" s="129"/>
      <c r="B119" s="248"/>
      <c r="C119" s="90"/>
      <c r="D119" s="102"/>
      <c r="E119" s="90"/>
      <c r="F119" s="93"/>
      <c r="G119" s="90"/>
      <c r="H119" s="90"/>
      <c r="I119" s="90"/>
      <c r="J119" s="90"/>
      <c r="K119" s="225"/>
      <c r="L119" s="73" t="s">
        <v>338</v>
      </c>
      <c r="M119" s="73" t="s">
        <v>195</v>
      </c>
      <c r="N119" s="97">
        <v>1</v>
      </c>
      <c r="O119" s="33"/>
      <c r="P119" s="94">
        <v>0.13500000000000001</v>
      </c>
      <c r="Q119" s="95" t="s">
        <v>135</v>
      </c>
      <c r="R119" s="95" t="s">
        <v>135</v>
      </c>
      <c r="S119" s="95" t="s">
        <v>135</v>
      </c>
      <c r="T119" s="96"/>
      <c r="U119" s="96"/>
      <c r="V119" s="95" t="s">
        <v>135</v>
      </c>
    </row>
    <row r="120" spans="1:22" ht="69" customHeight="1">
      <c r="A120" s="90"/>
      <c r="B120" s="248"/>
      <c r="C120" s="90"/>
      <c r="D120" s="102"/>
      <c r="E120" s="90"/>
      <c r="F120" s="93"/>
      <c r="G120" s="90"/>
      <c r="H120" s="90"/>
      <c r="I120" s="90"/>
      <c r="J120" s="90"/>
      <c r="K120" s="95" t="s">
        <v>341</v>
      </c>
      <c r="L120" s="73" t="s">
        <v>233</v>
      </c>
      <c r="M120" s="73" t="s">
        <v>195</v>
      </c>
      <c r="N120" s="97">
        <v>2</v>
      </c>
      <c r="O120" s="33"/>
      <c r="P120" s="94">
        <v>0.13</v>
      </c>
      <c r="Q120" s="95" t="s">
        <v>135</v>
      </c>
      <c r="R120" s="95" t="s">
        <v>135</v>
      </c>
      <c r="S120" s="95" t="s">
        <v>135</v>
      </c>
      <c r="T120" s="96"/>
      <c r="U120" s="96"/>
      <c r="V120" s="95" t="s">
        <v>135</v>
      </c>
    </row>
    <row r="121" spans="1:22" ht="93.75" customHeight="1">
      <c r="A121" s="130"/>
      <c r="B121" s="249"/>
      <c r="C121" s="90"/>
      <c r="D121" s="102"/>
      <c r="E121" s="90"/>
      <c r="F121" s="93"/>
      <c r="G121" s="90"/>
      <c r="H121" s="90"/>
      <c r="I121" s="90"/>
      <c r="J121" s="90"/>
      <c r="K121" s="135"/>
      <c r="L121" s="73" t="s">
        <v>338</v>
      </c>
      <c r="M121" s="73" t="s">
        <v>195</v>
      </c>
      <c r="N121" s="97">
        <v>1</v>
      </c>
      <c r="O121" s="33"/>
      <c r="P121" s="94">
        <v>0.33600000000000002</v>
      </c>
      <c r="Q121" s="95" t="s">
        <v>135</v>
      </c>
      <c r="R121" s="95" t="s">
        <v>135</v>
      </c>
      <c r="S121" s="95" t="s">
        <v>135</v>
      </c>
      <c r="T121" s="96"/>
      <c r="U121" s="96"/>
      <c r="V121" s="95" t="s">
        <v>135</v>
      </c>
    </row>
    <row r="122" spans="1:22" ht="51.75" customHeight="1">
      <c r="A122" s="73">
        <v>54</v>
      </c>
      <c r="B122" s="99" t="s">
        <v>342</v>
      </c>
      <c r="C122" s="96">
        <v>0.374</v>
      </c>
      <c r="D122" s="102">
        <v>4457</v>
      </c>
      <c r="E122" s="96">
        <f>C122-N122</f>
        <v>0</v>
      </c>
      <c r="F122" s="93">
        <f>E122*100/C122</f>
        <v>0</v>
      </c>
      <c r="G122" s="92">
        <f>ROUND(E122-(E122*0.08),2)+N122</f>
        <v>0.374</v>
      </c>
      <c r="H122" s="93">
        <f>G122*100/C122</f>
        <v>100</v>
      </c>
      <c r="I122" s="92">
        <f>ROUND(E122-(E122*0.016),2)+N122</f>
        <v>0.374</v>
      </c>
      <c r="J122" s="93">
        <f>I122*100/C122</f>
        <v>100</v>
      </c>
      <c r="K122" s="73" t="s">
        <v>342</v>
      </c>
      <c r="L122" s="73" t="s">
        <v>193</v>
      </c>
      <c r="M122" s="73" t="s">
        <v>26</v>
      </c>
      <c r="N122" s="96">
        <v>0.374</v>
      </c>
      <c r="O122" s="102">
        <v>4457</v>
      </c>
      <c r="P122" s="94">
        <v>4.1520000000000001</v>
      </c>
      <c r="Q122" s="95" t="s">
        <v>135</v>
      </c>
      <c r="R122" s="95" t="s">
        <v>135</v>
      </c>
      <c r="S122" s="95" t="s">
        <v>135</v>
      </c>
      <c r="T122" s="96"/>
      <c r="U122" s="96"/>
      <c r="V122" s="95" t="s">
        <v>135</v>
      </c>
    </row>
    <row r="123" spans="1:22" ht="107.25" customHeight="1">
      <c r="A123" s="212"/>
      <c r="B123" s="247"/>
      <c r="C123" s="92"/>
      <c r="D123" s="102"/>
      <c r="E123" s="93"/>
      <c r="F123" s="93"/>
      <c r="G123" s="93"/>
      <c r="H123" s="93"/>
      <c r="I123" s="93"/>
      <c r="J123" s="93"/>
      <c r="K123" s="223" t="s">
        <v>343</v>
      </c>
      <c r="L123" s="73" t="s">
        <v>344</v>
      </c>
      <c r="M123" s="73" t="s">
        <v>26</v>
      </c>
      <c r="N123" s="96">
        <v>0.1</v>
      </c>
      <c r="O123" s="33"/>
      <c r="P123" s="94">
        <v>0.2215</v>
      </c>
      <c r="Q123" s="95" t="s">
        <v>135</v>
      </c>
      <c r="R123" s="95" t="s">
        <v>135</v>
      </c>
      <c r="S123" s="95" t="s">
        <v>135</v>
      </c>
      <c r="T123" s="96"/>
      <c r="U123" s="96"/>
      <c r="V123" s="95" t="s">
        <v>135</v>
      </c>
    </row>
    <row r="124" spans="1:22" ht="77.25" customHeight="1">
      <c r="A124" s="213"/>
      <c r="B124" s="249"/>
      <c r="C124" s="92"/>
      <c r="D124" s="102"/>
      <c r="E124" s="93"/>
      <c r="F124" s="93"/>
      <c r="G124" s="93"/>
      <c r="H124" s="93"/>
      <c r="I124" s="93"/>
      <c r="J124" s="93"/>
      <c r="K124" s="225"/>
      <c r="L124" s="73" t="s">
        <v>345</v>
      </c>
      <c r="M124" s="73" t="s">
        <v>195</v>
      </c>
      <c r="N124" s="97">
        <v>2</v>
      </c>
      <c r="O124" s="33"/>
      <c r="P124" s="94">
        <v>0.13</v>
      </c>
      <c r="Q124" s="95" t="s">
        <v>135</v>
      </c>
      <c r="R124" s="95" t="s">
        <v>135</v>
      </c>
      <c r="S124" s="95" t="s">
        <v>135</v>
      </c>
      <c r="T124" s="96"/>
      <c r="U124" s="96"/>
      <c r="V124" s="95" t="s">
        <v>135</v>
      </c>
    </row>
    <row r="125" spans="1:22" ht="51" customHeight="1">
      <c r="A125" s="73">
        <v>55</v>
      </c>
      <c r="B125" s="99" t="s">
        <v>346</v>
      </c>
      <c r="C125" s="96">
        <v>0.92600000000000005</v>
      </c>
      <c r="D125" s="102">
        <v>11343</v>
      </c>
      <c r="E125" s="96">
        <f>C125-N125</f>
        <v>0</v>
      </c>
      <c r="F125" s="93">
        <f>E125*100/C125</f>
        <v>0</v>
      </c>
      <c r="G125" s="92">
        <f>ROUND(E125-(E125*0.08),2)+N125</f>
        <v>0.92600000000000005</v>
      </c>
      <c r="H125" s="93">
        <f>G125*100/C125</f>
        <v>100</v>
      </c>
      <c r="I125" s="92">
        <f>ROUND(E125-(E125*0.016),2)+N125</f>
        <v>0.92600000000000005</v>
      </c>
      <c r="J125" s="93">
        <f>I125*100/C125</f>
        <v>100</v>
      </c>
      <c r="K125" s="73" t="s">
        <v>346</v>
      </c>
      <c r="L125" s="73" t="s">
        <v>193</v>
      </c>
      <c r="M125" s="73" t="s">
        <v>26</v>
      </c>
      <c r="N125" s="96">
        <v>0.92600000000000005</v>
      </c>
      <c r="O125" s="33">
        <v>11343</v>
      </c>
      <c r="P125" s="94">
        <v>6.7</v>
      </c>
      <c r="Q125" s="95" t="s">
        <v>135</v>
      </c>
      <c r="R125" s="95" t="s">
        <v>135</v>
      </c>
      <c r="S125" s="95" t="s">
        <v>135</v>
      </c>
      <c r="T125" s="96"/>
      <c r="U125" s="96"/>
      <c r="V125" s="95" t="s">
        <v>135</v>
      </c>
    </row>
    <row r="126" spans="1:22" ht="47.25" customHeight="1">
      <c r="A126" s="216">
        <v>56</v>
      </c>
      <c r="B126" s="247" t="s">
        <v>347</v>
      </c>
      <c r="C126" s="89">
        <v>2.0659999999999998</v>
      </c>
      <c r="D126" s="102">
        <v>34379</v>
      </c>
      <c r="E126" s="89">
        <f>C126-N126</f>
        <v>0</v>
      </c>
      <c r="F126" s="34">
        <f>E126*100/C126</f>
        <v>0</v>
      </c>
      <c r="G126" s="92">
        <f>ROUND(E126-(E126*0.08),2)+N126</f>
        <v>2.0659999999999998</v>
      </c>
      <c r="H126" s="93">
        <f>G126*100/C126</f>
        <v>100</v>
      </c>
      <c r="I126" s="92">
        <f>ROUND(E126-(E126*0.016),2)+N126</f>
        <v>2.0659999999999998</v>
      </c>
      <c r="J126" s="93">
        <f>I126*100/C126</f>
        <v>100</v>
      </c>
      <c r="K126" s="73" t="s">
        <v>348</v>
      </c>
      <c r="L126" s="73" t="s">
        <v>193</v>
      </c>
      <c r="M126" s="73" t="s">
        <v>26</v>
      </c>
      <c r="N126" s="89">
        <v>2.0659999999999998</v>
      </c>
      <c r="O126" s="102">
        <v>34379</v>
      </c>
      <c r="P126" s="95">
        <v>30.408999999999999</v>
      </c>
      <c r="Q126" s="95"/>
      <c r="R126" s="95"/>
      <c r="S126" s="95"/>
      <c r="T126" s="96"/>
      <c r="U126" s="96"/>
      <c r="V126" s="95"/>
    </row>
    <row r="127" spans="1:22" ht="72" customHeight="1">
      <c r="A127" s="216"/>
      <c r="B127" s="249"/>
      <c r="C127" s="111"/>
      <c r="D127" s="102"/>
      <c r="E127" s="111"/>
      <c r="F127" s="93"/>
      <c r="G127" s="111"/>
      <c r="H127" s="111"/>
      <c r="I127" s="111"/>
      <c r="J127" s="111"/>
      <c r="K127" s="95" t="s">
        <v>349</v>
      </c>
      <c r="L127" s="73" t="s">
        <v>233</v>
      </c>
      <c r="M127" s="73" t="s">
        <v>195</v>
      </c>
      <c r="N127" s="97">
        <v>2</v>
      </c>
      <c r="O127" s="98"/>
      <c r="P127" s="94">
        <v>0.13</v>
      </c>
      <c r="Q127" s="95"/>
      <c r="R127" s="95"/>
      <c r="S127" s="95"/>
      <c r="T127" s="94"/>
      <c r="U127" s="94"/>
      <c r="V127" s="95"/>
    </row>
    <row r="128" spans="1:22" ht="36.75" customHeight="1">
      <c r="A128" s="212">
        <v>57</v>
      </c>
      <c r="B128" s="247" t="s">
        <v>350</v>
      </c>
      <c r="C128" s="73">
        <v>0.89600000000000002</v>
      </c>
      <c r="D128" s="102">
        <v>14292</v>
      </c>
      <c r="E128" s="89">
        <f>C128-N128</f>
        <v>0</v>
      </c>
      <c r="F128" s="34">
        <f>E128*100/C128</f>
        <v>0</v>
      </c>
      <c r="G128" s="92">
        <f>ROUND(E128-(E128*0.08),2)+N128</f>
        <v>0.89600000000000002</v>
      </c>
      <c r="H128" s="93">
        <f>G128*100/C128</f>
        <v>100.00000000000001</v>
      </c>
      <c r="I128" s="92">
        <f>ROUND(E128-(E128*0.016),2)+N128</f>
        <v>0.89600000000000002</v>
      </c>
      <c r="J128" s="93">
        <f>I128*100/C128</f>
        <v>100.00000000000001</v>
      </c>
      <c r="K128" s="73" t="s">
        <v>350</v>
      </c>
      <c r="L128" s="73" t="s">
        <v>193</v>
      </c>
      <c r="M128" s="73" t="s">
        <v>26</v>
      </c>
      <c r="N128" s="73">
        <v>0.89600000000000002</v>
      </c>
      <c r="O128" s="102">
        <v>14292</v>
      </c>
      <c r="P128" s="94">
        <v>12.105</v>
      </c>
      <c r="Q128" s="95" t="s">
        <v>135</v>
      </c>
      <c r="R128" s="95" t="s">
        <v>135</v>
      </c>
      <c r="S128" s="95" t="s">
        <v>135</v>
      </c>
      <c r="T128" s="96"/>
      <c r="U128" s="96"/>
      <c r="V128" s="95" t="s">
        <v>135</v>
      </c>
    </row>
    <row r="129" spans="1:22" ht="75.75" customHeight="1">
      <c r="A129" s="213"/>
      <c r="B129" s="249"/>
      <c r="C129" s="90"/>
      <c r="D129" s="102"/>
      <c r="E129" s="90"/>
      <c r="F129" s="93"/>
      <c r="G129" s="90"/>
      <c r="H129" s="90"/>
      <c r="I129" s="90"/>
      <c r="J129" s="90"/>
      <c r="K129" s="95" t="s">
        <v>351</v>
      </c>
      <c r="L129" s="73" t="s">
        <v>233</v>
      </c>
      <c r="M129" s="73" t="s">
        <v>195</v>
      </c>
      <c r="N129" s="97">
        <v>2</v>
      </c>
      <c r="O129" s="33"/>
      <c r="P129" s="94">
        <v>0.13</v>
      </c>
      <c r="Q129" s="95" t="s">
        <v>135</v>
      </c>
      <c r="R129" s="95" t="s">
        <v>135</v>
      </c>
      <c r="S129" s="95" t="s">
        <v>135</v>
      </c>
      <c r="T129" s="96"/>
      <c r="U129" s="96"/>
      <c r="V129" s="95" t="s">
        <v>135</v>
      </c>
    </row>
    <row r="130" spans="1:22" ht="54" customHeight="1">
      <c r="A130" s="73">
        <v>58</v>
      </c>
      <c r="B130" s="99" t="s">
        <v>352</v>
      </c>
      <c r="C130" s="96">
        <v>2.3260000000000001</v>
      </c>
      <c r="D130" s="102">
        <v>17831</v>
      </c>
      <c r="E130" s="96">
        <f>C130-N130</f>
        <v>0</v>
      </c>
      <c r="F130" s="34">
        <f>E130*100/C130</f>
        <v>0</v>
      </c>
      <c r="G130" s="92">
        <f>ROUND(E130-(E130*0.08),2)+N130</f>
        <v>2.3260000000000001</v>
      </c>
      <c r="H130" s="93">
        <f>G130*100/C130</f>
        <v>100</v>
      </c>
      <c r="I130" s="92">
        <f>ROUND(E130-(E130*0.016),2)+N130</f>
        <v>2.3260000000000001</v>
      </c>
      <c r="J130" s="93">
        <f>I130*100/C130</f>
        <v>100</v>
      </c>
      <c r="K130" s="73" t="s">
        <v>352</v>
      </c>
      <c r="L130" s="73" t="s">
        <v>193</v>
      </c>
      <c r="M130" s="73" t="s">
        <v>26</v>
      </c>
      <c r="N130" s="96">
        <v>2.3260000000000001</v>
      </c>
      <c r="O130" s="102">
        <v>17831</v>
      </c>
      <c r="P130" s="94">
        <v>14.317</v>
      </c>
      <c r="Q130" s="95" t="s">
        <v>135</v>
      </c>
      <c r="R130" s="95" t="s">
        <v>135</v>
      </c>
      <c r="S130" s="95" t="s">
        <v>135</v>
      </c>
      <c r="T130" s="96"/>
      <c r="U130" s="96"/>
      <c r="V130" s="95" t="s">
        <v>135</v>
      </c>
    </row>
    <row r="131" spans="1:22" ht="24" customHeight="1">
      <c r="A131" s="90"/>
      <c r="B131" s="90" t="s">
        <v>353</v>
      </c>
      <c r="C131" s="89">
        <v>3.8</v>
      </c>
      <c r="D131" s="102">
        <v>22800</v>
      </c>
      <c r="E131" s="92">
        <v>0</v>
      </c>
      <c r="F131" s="34">
        <f>E131*100/C131</f>
        <v>0</v>
      </c>
      <c r="G131" s="89">
        <f>ROUND(E131-(E131*0.1),2)</f>
        <v>0</v>
      </c>
      <c r="H131" s="34">
        <f>G131*100/C131</f>
        <v>0</v>
      </c>
      <c r="I131" s="89">
        <f>ROUND(G131-(G131*0.1),2)</f>
        <v>0</v>
      </c>
      <c r="J131" s="34">
        <f>I131*100/C131</f>
        <v>0</v>
      </c>
      <c r="K131" s="95" t="s">
        <v>354</v>
      </c>
      <c r="L131" s="73" t="s">
        <v>355</v>
      </c>
      <c r="M131" s="73" t="s">
        <v>26</v>
      </c>
      <c r="N131" s="73">
        <v>0.2</v>
      </c>
      <c r="O131" s="33"/>
      <c r="P131" s="94">
        <v>0.42659999999999998</v>
      </c>
      <c r="Q131" s="95" t="s">
        <v>135</v>
      </c>
      <c r="R131" s="95" t="s">
        <v>135</v>
      </c>
      <c r="S131" s="95" t="s">
        <v>135</v>
      </c>
      <c r="T131" s="73"/>
      <c r="U131" s="73"/>
      <c r="V131" s="95" t="s">
        <v>135</v>
      </c>
    </row>
    <row r="132" spans="1:22" ht="53.25" customHeight="1">
      <c r="A132" s="260">
        <v>59</v>
      </c>
      <c r="B132" s="247" t="s">
        <v>356</v>
      </c>
      <c r="C132" s="73">
        <v>2.21</v>
      </c>
      <c r="D132" s="91">
        <v>37636</v>
      </c>
      <c r="E132" s="89">
        <f>C132-N132</f>
        <v>0</v>
      </c>
      <c r="F132" s="34">
        <f>E132*100/C132</f>
        <v>0</v>
      </c>
      <c r="G132" s="92">
        <f>ROUND(E132-(E132*0.08),2)+N132</f>
        <v>2.21</v>
      </c>
      <c r="H132" s="93">
        <f>G132*100/C132</f>
        <v>100</v>
      </c>
      <c r="I132" s="92">
        <f>ROUND(E132-(E132*0.016),2)+N132</f>
        <v>2.21</v>
      </c>
      <c r="J132" s="93">
        <f>I132*100/C132</f>
        <v>100</v>
      </c>
      <c r="K132" s="73" t="s">
        <v>356</v>
      </c>
      <c r="L132" s="73" t="s">
        <v>193</v>
      </c>
      <c r="M132" s="73" t="s">
        <v>26</v>
      </c>
      <c r="N132" s="73">
        <v>2.21</v>
      </c>
      <c r="O132" s="91">
        <v>37636</v>
      </c>
      <c r="P132" s="94">
        <v>33.472999999999999</v>
      </c>
      <c r="Q132" s="95" t="s">
        <v>135</v>
      </c>
      <c r="R132" s="95" t="s">
        <v>135</v>
      </c>
      <c r="S132" s="95" t="s">
        <v>135</v>
      </c>
      <c r="T132" s="96"/>
      <c r="U132" s="96"/>
      <c r="V132" s="95" t="s">
        <v>135</v>
      </c>
    </row>
    <row r="133" spans="1:22" ht="72" customHeight="1">
      <c r="A133" s="260"/>
      <c r="B133" s="248"/>
      <c r="C133" s="90"/>
      <c r="D133" s="91"/>
      <c r="E133" s="90"/>
      <c r="F133" s="93"/>
      <c r="G133" s="90"/>
      <c r="H133" s="90"/>
      <c r="I133" s="90"/>
      <c r="J133" s="90"/>
      <c r="K133" s="95" t="s">
        <v>357</v>
      </c>
      <c r="L133" s="73" t="s">
        <v>233</v>
      </c>
      <c r="M133" s="73" t="s">
        <v>195</v>
      </c>
      <c r="N133" s="97">
        <v>2</v>
      </c>
      <c r="O133" s="33"/>
      <c r="P133" s="94">
        <v>0.13</v>
      </c>
      <c r="Q133" s="95" t="s">
        <v>135</v>
      </c>
      <c r="R133" s="95" t="s">
        <v>135</v>
      </c>
      <c r="S133" s="95" t="s">
        <v>135</v>
      </c>
      <c r="T133" s="96"/>
      <c r="U133" s="96"/>
      <c r="V133" s="95" t="s">
        <v>135</v>
      </c>
    </row>
    <row r="134" spans="1:22" ht="101.25" customHeight="1">
      <c r="A134" s="260"/>
      <c r="B134" s="248"/>
      <c r="C134" s="90"/>
      <c r="D134" s="91"/>
      <c r="E134" s="90"/>
      <c r="F134" s="93"/>
      <c r="G134" s="90"/>
      <c r="H134" s="90"/>
      <c r="I134" s="90"/>
      <c r="J134" s="90"/>
      <c r="K134" s="253" t="s">
        <v>358</v>
      </c>
      <c r="L134" s="73" t="s">
        <v>338</v>
      </c>
      <c r="M134" s="73" t="s">
        <v>195</v>
      </c>
      <c r="N134" s="97">
        <v>1</v>
      </c>
      <c r="O134" s="33"/>
      <c r="P134" s="94">
        <v>0.33600000000000002</v>
      </c>
      <c r="Q134" s="95"/>
      <c r="R134" s="95"/>
      <c r="S134" s="95"/>
      <c r="T134" s="96"/>
      <c r="U134" s="96"/>
      <c r="V134" s="95"/>
    </row>
    <row r="135" spans="1:22" ht="77.25" customHeight="1">
      <c r="A135" s="260"/>
      <c r="B135" s="248"/>
      <c r="C135" s="90"/>
      <c r="D135" s="91"/>
      <c r="E135" s="90"/>
      <c r="F135" s="93"/>
      <c r="G135" s="90"/>
      <c r="H135" s="90"/>
      <c r="I135" s="90"/>
      <c r="J135" s="90"/>
      <c r="K135" s="253"/>
      <c r="L135" s="73" t="s">
        <v>233</v>
      </c>
      <c r="M135" s="73" t="s">
        <v>195</v>
      </c>
      <c r="N135" s="97">
        <v>2</v>
      </c>
      <c r="O135" s="33"/>
      <c r="P135" s="94">
        <v>0.13</v>
      </c>
      <c r="Q135" s="95" t="s">
        <v>135</v>
      </c>
      <c r="R135" s="95" t="s">
        <v>135</v>
      </c>
      <c r="S135" s="95" t="s">
        <v>135</v>
      </c>
      <c r="T135" s="96"/>
      <c r="U135" s="96"/>
      <c r="V135" s="95" t="s">
        <v>135</v>
      </c>
    </row>
    <row r="136" spans="1:22" ht="93.75" customHeight="1">
      <c r="A136" s="216"/>
      <c r="B136" s="248"/>
      <c r="C136" s="90"/>
      <c r="D136" s="91"/>
      <c r="E136" s="90"/>
      <c r="F136" s="93"/>
      <c r="G136" s="90"/>
      <c r="H136" s="90"/>
      <c r="I136" s="90"/>
      <c r="J136" s="90"/>
      <c r="K136" s="223" t="s">
        <v>359</v>
      </c>
      <c r="L136" s="73" t="s">
        <v>360</v>
      </c>
      <c r="M136" s="73" t="s">
        <v>195</v>
      </c>
      <c r="N136" s="97">
        <v>1</v>
      </c>
      <c r="O136" s="33"/>
      <c r="P136" s="94">
        <v>0.33600000000000002</v>
      </c>
      <c r="Q136" s="223"/>
      <c r="R136" s="223"/>
      <c r="S136" s="223"/>
      <c r="T136" s="257"/>
      <c r="U136" s="257"/>
      <c r="V136" s="223"/>
    </row>
    <row r="137" spans="1:22" ht="72" customHeight="1">
      <c r="A137" s="216"/>
      <c r="B137" s="249"/>
      <c r="C137" s="90"/>
      <c r="D137" s="91"/>
      <c r="E137" s="90"/>
      <c r="F137" s="93"/>
      <c r="G137" s="90"/>
      <c r="H137" s="90"/>
      <c r="I137" s="90"/>
      <c r="J137" s="90"/>
      <c r="K137" s="225"/>
      <c r="L137" s="73" t="s">
        <v>233</v>
      </c>
      <c r="M137" s="73" t="s">
        <v>195</v>
      </c>
      <c r="N137" s="97">
        <v>2</v>
      </c>
      <c r="O137" s="33"/>
      <c r="P137" s="94">
        <v>0.13</v>
      </c>
      <c r="Q137" s="225"/>
      <c r="R137" s="225"/>
      <c r="S137" s="225"/>
      <c r="T137" s="262"/>
      <c r="U137" s="262"/>
      <c r="V137" s="225"/>
    </row>
    <row r="138" spans="1:22" ht="114" customHeight="1">
      <c r="A138" s="216"/>
      <c r="B138" s="247" t="s">
        <v>361</v>
      </c>
      <c r="C138" s="73">
        <v>2.387</v>
      </c>
      <c r="D138" s="91">
        <v>50127</v>
      </c>
      <c r="E138" s="92">
        <v>2.387</v>
      </c>
      <c r="F138" s="93">
        <f>E138*100/C138</f>
        <v>100</v>
      </c>
      <c r="G138" s="92">
        <f>ROUND(E138-(E138*0.1),2)</f>
        <v>2.15</v>
      </c>
      <c r="H138" s="93">
        <f>G138*100/C138</f>
        <v>90.071219103477162</v>
      </c>
      <c r="I138" s="92">
        <f>ROUND(G138-(G138*0.1),2)</f>
        <v>1.94</v>
      </c>
      <c r="J138" s="93">
        <f>I138*100/C138</f>
        <v>81.273565144532881</v>
      </c>
      <c r="K138" s="95" t="s">
        <v>362</v>
      </c>
      <c r="L138" s="73" t="s">
        <v>263</v>
      </c>
      <c r="M138" s="73" t="s">
        <v>195</v>
      </c>
      <c r="N138" s="97">
        <v>2</v>
      </c>
      <c r="O138" s="33"/>
      <c r="P138" s="94">
        <v>0.13</v>
      </c>
      <c r="Q138" s="95" t="s">
        <v>135</v>
      </c>
      <c r="R138" s="95" t="s">
        <v>135</v>
      </c>
      <c r="S138" s="95" t="s">
        <v>135</v>
      </c>
      <c r="T138" s="96"/>
      <c r="U138" s="96"/>
      <c r="V138" s="95" t="s">
        <v>135</v>
      </c>
    </row>
    <row r="139" spans="1:22" ht="109.5" customHeight="1">
      <c r="A139" s="216"/>
      <c r="B139" s="248"/>
      <c r="C139" s="90"/>
      <c r="D139" s="91"/>
      <c r="E139" s="92"/>
      <c r="F139" s="93"/>
      <c r="G139" s="92"/>
      <c r="H139" s="92"/>
      <c r="I139" s="92"/>
      <c r="J139" s="92"/>
      <c r="K139" s="95" t="s">
        <v>363</v>
      </c>
      <c r="L139" s="73" t="s">
        <v>263</v>
      </c>
      <c r="M139" s="73" t="s">
        <v>195</v>
      </c>
      <c r="N139" s="97">
        <v>2</v>
      </c>
      <c r="O139" s="33"/>
      <c r="P139" s="94">
        <v>0.13</v>
      </c>
      <c r="Q139" s="95" t="s">
        <v>135</v>
      </c>
      <c r="R139" s="95" t="s">
        <v>135</v>
      </c>
      <c r="S139" s="95" t="s">
        <v>135</v>
      </c>
      <c r="T139" s="96"/>
      <c r="U139" s="96"/>
      <c r="V139" s="95" t="s">
        <v>135</v>
      </c>
    </row>
    <row r="140" spans="1:22" ht="99.75" customHeight="1">
      <c r="A140" s="216"/>
      <c r="B140" s="249"/>
      <c r="C140" s="90"/>
      <c r="D140" s="91"/>
      <c r="E140" s="92"/>
      <c r="F140" s="93"/>
      <c r="G140" s="92"/>
      <c r="H140" s="92"/>
      <c r="I140" s="92"/>
      <c r="J140" s="92"/>
      <c r="K140" s="95" t="s">
        <v>364</v>
      </c>
      <c r="L140" s="73" t="s">
        <v>263</v>
      </c>
      <c r="M140" s="73" t="s">
        <v>195</v>
      </c>
      <c r="N140" s="97">
        <v>2</v>
      </c>
      <c r="O140" s="33"/>
      <c r="P140" s="94">
        <v>0.13</v>
      </c>
      <c r="Q140" s="95" t="s">
        <v>135</v>
      </c>
      <c r="R140" s="95" t="s">
        <v>135</v>
      </c>
      <c r="S140" s="95" t="s">
        <v>135</v>
      </c>
      <c r="T140" s="96"/>
      <c r="U140" s="96"/>
      <c r="V140" s="95" t="s">
        <v>135</v>
      </c>
    </row>
    <row r="141" spans="1:22" ht="69" customHeight="1">
      <c r="A141" s="73">
        <v>60</v>
      </c>
      <c r="B141" s="99" t="s">
        <v>365</v>
      </c>
      <c r="C141" s="96">
        <v>1.633</v>
      </c>
      <c r="D141" s="102">
        <v>26128</v>
      </c>
      <c r="E141" s="96">
        <f>C141-N141</f>
        <v>0.43900000000000006</v>
      </c>
      <c r="F141" s="34">
        <f t="shared" ref="F141:F145" si="14">E141*100/C141</f>
        <v>26.883037354562159</v>
      </c>
      <c r="G141" s="92">
        <f>ROUND(E141-(E141*0.08),2)+N141</f>
        <v>1.5939999999999999</v>
      </c>
      <c r="H141" s="93">
        <f>G141*100/C141</f>
        <v>97.611757501530917</v>
      </c>
      <c r="I141" s="92">
        <f>ROUND(E141-(E141*0.016),2)+N141</f>
        <v>1.6239999999999999</v>
      </c>
      <c r="J141" s="93">
        <f>I141*100/C141</f>
        <v>99.448867115737897</v>
      </c>
      <c r="K141" s="73" t="s">
        <v>366</v>
      </c>
      <c r="L141" s="73" t="s">
        <v>193</v>
      </c>
      <c r="M141" s="73" t="s">
        <v>26</v>
      </c>
      <c r="N141" s="96">
        <v>1.194</v>
      </c>
      <c r="O141" s="33">
        <v>22903</v>
      </c>
      <c r="P141" s="94">
        <v>20.042000000000002</v>
      </c>
      <c r="Q141" s="95" t="s">
        <v>135</v>
      </c>
      <c r="R141" s="95" t="s">
        <v>135</v>
      </c>
      <c r="S141" s="95" t="s">
        <v>135</v>
      </c>
      <c r="T141" s="96"/>
      <c r="U141" s="96"/>
      <c r="V141" s="95" t="s">
        <v>135</v>
      </c>
    </row>
    <row r="142" spans="1:22" ht="39" customHeight="1">
      <c r="A142" s="73">
        <v>61</v>
      </c>
      <c r="B142" s="99" t="s">
        <v>367</v>
      </c>
      <c r="C142" s="96">
        <v>1.514</v>
      </c>
      <c r="D142" s="33">
        <v>38921</v>
      </c>
      <c r="E142" s="96">
        <f>C142-N142</f>
        <v>0</v>
      </c>
      <c r="F142" s="34">
        <f t="shared" si="14"/>
        <v>0</v>
      </c>
      <c r="G142" s="92">
        <f>ROUND(E142-(E142*0.08),2)+N142</f>
        <v>1.514</v>
      </c>
      <c r="H142" s="93">
        <f>G142*100/C142</f>
        <v>100</v>
      </c>
      <c r="I142" s="92">
        <f>ROUND(E142-(E142*0.016),2)+N142</f>
        <v>1.514</v>
      </c>
      <c r="J142" s="93">
        <f>I142*100/C142</f>
        <v>100</v>
      </c>
      <c r="K142" s="73" t="s">
        <v>367</v>
      </c>
      <c r="L142" s="73" t="s">
        <v>193</v>
      </c>
      <c r="M142" s="73" t="s">
        <v>26</v>
      </c>
      <c r="N142" s="96">
        <v>1.514</v>
      </c>
      <c r="O142" s="33">
        <v>38921</v>
      </c>
      <c r="P142" s="94">
        <v>32.945</v>
      </c>
      <c r="Q142" s="95" t="s">
        <v>135</v>
      </c>
      <c r="R142" s="95" t="s">
        <v>135</v>
      </c>
      <c r="S142" s="95" t="s">
        <v>135</v>
      </c>
      <c r="T142" s="96"/>
      <c r="U142" s="96"/>
      <c r="V142" s="95" t="s">
        <v>135</v>
      </c>
    </row>
    <row r="143" spans="1:22" ht="40.5" customHeight="1">
      <c r="A143" s="73">
        <v>62</v>
      </c>
      <c r="B143" s="99" t="s">
        <v>368</v>
      </c>
      <c r="C143" s="96">
        <v>6.39</v>
      </c>
      <c r="D143" s="102">
        <v>99045</v>
      </c>
      <c r="E143" s="96">
        <f>C143-N143</f>
        <v>5.7489999999999997</v>
      </c>
      <c r="F143" s="34">
        <f t="shared" si="14"/>
        <v>89.968701095461654</v>
      </c>
      <c r="G143" s="92">
        <f>ROUND(E143-(E143*0.08),2)+N143</f>
        <v>5.931</v>
      </c>
      <c r="H143" s="93">
        <f>G143*100/C143</f>
        <v>92.816901408450718</v>
      </c>
      <c r="I143" s="92">
        <f>ROUND(E143-(E143*0.016),2)+N143</f>
        <v>6.3010000000000002</v>
      </c>
      <c r="J143" s="93">
        <f>I143*100/C143</f>
        <v>98.607198748043828</v>
      </c>
      <c r="K143" s="73" t="s">
        <v>369</v>
      </c>
      <c r="L143" s="73" t="s">
        <v>193</v>
      </c>
      <c r="M143" s="73" t="s">
        <v>26</v>
      </c>
      <c r="N143" s="96">
        <v>0.64100000000000001</v>
      </c>
      <c r="O143" s="33">
        <v>11504</v>
      </c>
      <c r="P143" s="94">
        <v>10.568</v>
      </c>
      <c r="Q143" s="95" t="s">
        <v>135</v>
      </c>
      <c r="R143" s="95" t="s">
        <v>135</v>
      </c>
      <c r="S143" s="95" t="s">
        <v>135</v>
      </c>
      <c r="T143" s="96"/>
      <c r="U143" s="96"/>
      <c r="V143" s="95" t="s">
        <v>135</v>
      </c>
    </row>
    <row r="144" spans="1:22" ht="52.5" customHeight="1">
      <c r="A144" s="73">
        <v>63</v>
      </c>
      <c r="B144" s="99" t="s">
        <v>370</v>
      </c>
      <c r="C144" s="96">
        <v>0.30199999999999999</v>
      </c>
      <c r="D144" s="102">
        <v>4228</v>
      </c>
      <c r="E144" s="94">
        <v>0</v>
      </c>
      <c r="F144" s="34">
        <f t="shared" si="14"/>
        <v>0</v>
      </c>
      <c r="G144" s="89">
        <f>ROUND(E144-(E144*0.1),2)</f>
        <v>0</v>
      </c>
      <c r="H144" s="34">
        <f t="shared" ref="H144:H145" si="15">G144*100/C144</f>
        <v>0</v>
      </c>
      <c r="I144" s="89">
        <f>ROUND(G144-(G144*0.1),2)+T144</f>
        <v>0.30199999999999999</v>
      </c>
      <c r="J144" s="34">
        <f t="shared" ref="J144:J145" si="16">I144*100/C144</f>
        <v>100</v>
      </c>
      <c r="K144" s="95" t="s">
        <v>135</v>
      </c>
      <c r="L144" s="95" t="s">
        <v>135</v>
      </c>
      <c r="M144" s="95" t="s">
        <v>135</v>
      </c>
      <c r="N144" s="95"/>
      <c r="O144" s="98"/>
      <c r="P144" s="94" t="s">
        <v>135</v>
      </c>
      <c r="Q144" s="73" t="s">
        <v>370</v>
      </c>
      <c r="R144" s="73" t="s">
        <v>193</v>
      </c>
      <c r="S144" s="73" t="s">
        <v>26</v>
      </c>
      <c r="T144" s="95">
        <v>0.30199999999999999</v>
      </c>
      <c r="U144" s="112">
        <v>4228</v>
      </c>
      <c r="V144" s="95">
        <v>5</v>
      </c>
    </row>
    <row r="145" spans="1:22" ht="105.75" customHeight="1">
      <c r="A145" s="151"/>
      <c r="B145" s="247" t="s">
        <v>371</v>
      </c>
      <c r="C145" s="73">
        <v>2.302</v>
      </c>
      <c r="D145" s="102">
        <v>26100</v>
      </c>
      <c r="E145" s="89">
        <v>2.302</v>
      </c>
      <c r="F145" s="34">
        <f t="shared" si="14"/>
        <v>100</v>
      </c>
      <c r="G145" s="89">
        <f>ROUND(E145-(E145*0.1),2)</f>
        <v>2.0699999999999998</v>
      </c>
      <c r="H145" s="34">
        <f t="shared" si="15"/>
        <v>89.921807124239777</v>
      </c>
      <c r="I145" s="89">
        <f>ROUND(G145-(G145*0.1),2)+T145</f>
        <v>1.86</v>
      </c>
      <c r="J145" s="34">
        <f t="shared" si="16"/>
        <v>80.799304952215465</v>
      </c>
      <c r="K145" s="95" t="s">
        <v>372</v>
      </c>
      <c r="L145" s="73" t="s">
        <v>263</v>
      </c>
      <c r="M145" s="73" t="s">
        <v>195</v>
      </c>
      <c r="N145" s="97">
        <v>2</v>
      </c>
      <c r="O145" s="33"/>
      <c r="P145" s="94">
        <v>0.13</v>
      </c>
      <c r="Q145" s="95" t="s">
        <v>135</v>
      </c>
      <c r="R145" s="95" t="s">
        <v>135</v>
      </c>
      <c r="S145" s="95" t="s">
        <v>135</v>
      </c>
      <c r="T145" s="96"/>
      <c r="U145" s="96"/>
      <c r="V145" s="95" t="s">
        <v>135</v>
      </c>
    </row>
    <row r="146" spans="1:22" ht="171.75" customHeight="1">
      <c r="A146" s="130"/>
      <c r="B146" s="248"/>
      <c r="C146" s="90"/>
      <c r="D146" s="102"/>
      <c r="E146" s="90"/>
      <c r="F146" s="93"/>
      <c r="G146" s="90"/>
      <c r="H146" s="90"/>
      <c r="I146" s="90"/>
      <c r="J146" s="90"/>
      <c r="K146" s="109" t="s">
        <v>373</v>
      </c>
      <c r="L146" s="73" t="s">
        <v>374</v>
      </c>
      <c r="M146" s="73" t="s">
        <v>26</v>
      </c>
      <c r="N146" s="96">
        <v>0.1</v>
      </c>
      <c r="O146" s="33"/>
      <c r="P146" s="94">
        <v>0.2215</v>
      </c>
      <c r="Q146" s="95" t="s">
        <v>135</v>
      </c>
      <c r="R146" s="95" t="s">
        <v>135</v>
      </c>
      <c r="S146" s="95" t="s">
        <v>135</v>
      </c>
      <c r="T146" s="96"/>
      <c r="U146" s="96"/>
      <c r="V146" s="95" t="s">
        <v>135</v>
      </c>
    </row>
    <row r="147" spans="1:22" ht="100.5" customHeight="1">
      <c r="A147" s="130"/>
      <c r="B147" s="249"/>
      <c r="C147" s="90"/>
      <c r="D147" s="102"/>
      <c r="E147" s="90"/>
      <c r="F147" s="93"/>
      <c r="G147" s="90"/>
      <c r="H147" s="90"/>
      <c r="I147" s="90"/>
      <c r="J147" s="90"/>
      <c r="K147" s="134"/>
      <c r="L147" s="73" t="s">
        <v>263</v>
      </c>
      <c r="M147" s="73" t="s">
        <v>195</v>
      </c>
      <c r="N147" s="97">
        <v>2</v>
      </c>
      <c r="O147" s="33"/>
      <c r="P147" s="94">
        <v>0.13</v>
      </c>
      <c r="Q147" s="95" t="s">
        <v>135</v>
      </c>
      <c r="R147" s="95" t="s">
        <v>135</v>
      </c>
      <c r="S147" s="95" t="s">
        <v>135</v>
      </c>
      <c r="T147" s="96"/>
      <c r="U147" s="96"/>
      <c r="V147" s="95" t="s">
        <v>135</v>
      </c>
    </row>
    <row r="148" spans="1:22" ht="100.5" customHeight="1">
      <c r="A148" s="223"/>
      <c r="B148" s="247" t="s">
        <v>375</v>
      </c>
      <c r="C148" s="73">
        <v>1.0980000000000001</v>
      </c>
      <c r="D148" s="102">
        <v>25803</v>
      </c>
      <c r="E148" s="93">
        <v>0</v>
      </c>
      <c r="F148" s="93">
        <f>E148*100/C148</f>
        <v>0</v>
      </c>
      <c r="G148" s="93">
        <f>ROUND(E148-(E148*0.1),2)</f>
        <v>0</v>
      </c>
      <c r="H148" s="93">
        <f>G148*100/C148</f>
        <v>0</v>
      </c>
      <c r="I148" s="93">
        <f>ROUND(G148-(G148*0.1),2)</f>
        <v>0</v>
      </c>
      <c r="J148" s="93">
        <f>I148*100/C148</f>
        <v>0</v>
      </c>
      <c r="K148" s="223" t="s">
        <v>376</v>
      </c>
      <c r="L148" s="73" t="s">
        <v>263</v>
      </c>
      <c r="M148" s="73" t="s">
        <v>195</v>
      </c>
      <c r="N148" s="97">
        <v>2</v>
      </c>
      <c r="O148" s="33"/>
      <c r="P148" s="94">
        <v>0.13</v>
      </c>
      <c r="Q148" s="95" t="s">
        <v>135</v>
      </c>
      <c r="R148" s="95" t="s">
        <v>135</v>
      </c>
      <c r="S148" s="95" t="s">
        <v>135</v>
      </c>
      <c r="T148" s="96"/>
      <c r="U148" s="96"/>
      <c r="V148" s="95" t="s">
        <v>135</v>
      </c>
    </row>
    <row r="149" spans="1:22" ht="99.75" customHeight="1">
      <c r="A149" s="224"/>
      <c r="B149" s="248"/>
      <c r="C149" s="90"/>
      <c r="D149" s="102"/>
      <c r="E149" s="92"/>
      <c r="F149" s="93"/>
      <c r="G149" s="92"/>
      <c r="H149" s="92"/>
      <c r="I149" s="92"/>
      <c r="J149" s="92"/>
      <c r="K149" s="224"/>
      <c r="L149" s="73" t="s">
        <v>377</v>
      </c>
      <c r="M149" s="73" t="s">
        <v>26</v>
      </c>
      <c r="N149" s="96">
        <v>0.1</v>
      </c>
      <c r="O149" s="33"/>
      <c r="P149" s="94">
        <v>0.2215</v>
      </c>
      <c r="Q149" s="95" t="s">
        <v>135</v>
      </c>
      <c r="R149" s="95" t="s">
        <v>135</v>
      </c>
      <c r="S149" s="95" t="s">
        <v>135</v>
      </c>
      <c r="T149" s="96"/>
      <c r="U149" s="96"/>
      <c r="V149" s="95" t="s">
        <v>135</v>
      </c>
    </row>
    <row r="150" spans="1:22" ht="54.75" customHeight="1">
      <c r="A150" s="225"/>
      <c r="B150" s="249"/>
      <c r="C150" s="90"/>
      <c r="D150" s="102"/>
      <c r="E150" s="92"/>
      <c r="F150" s="93"/>
      <c r="G150" s="92"/>
      <c r="H150" s="92"/>
      <c r="I150" s="92"/>
      <c r="J150" s="92"/>
      <c r="K150" s="225"/>
      <c r="L150" s="73" t="s">
        <v>378</v>
      </c>
      <c r="M150" s="73" t="s">
        <v>195</v>
      </c>
      <c r="N150" s="97">
        <v>1</v>
      </c>
      <c r="O150" s="33"/>
      <c r="P150" s="94">
        <v>0.13500000000000001</v>
      </c>
      <c r="Q150" s="95" t="s">
        <v>135</v>
      </c>
      <c r="R150" s="95" t="s">
        <v>135</v>
      </c>
      <c r="S150" s="95" t="s">
        <v>135</v>
      </c>
      <c r="T150" s="96"/>
      <c r="U150" s="96"/>
      <c r="V150" s="95" t="s">
        <v>135</v>
      </c>
    </row>
    <row r="151" spans="1:22" ht="53.25" customHeight="1">
      <c r="A151" s="95">
        <v>64</v>
      </c>
      <c r="B151" s="99" t="s">
        <v>379</v>
      </c>
      <c r="C151" s="96">
        <v>1.2</v>
      </c>
      <c r="D151" s="102">
        <v>6300</v>
      </c>
      <c r="E151" s="96">
        <f>C151-N151</f>
        <v>0.30099999999999993</v>
      </c>
      <c r="F151" s="34">
        <f t="shared" ref="F151:F160" si="17">E151*100/C151</f>
        <v>25.083333333333329</v>
      </c>
      <c r="G151" s="92">
        <f>ROUND(E151-(E151*0.08),2)+N151</f>
        <v>1.179</v>
      </c>
      <c r="H151" s="93">
        <f>G151*100/C151</f>
        <v>98.250000000000014</v>
      </c>
      <c r="I151" s="92">
        <f>ROUND(E151-(E151*0.016),2)+N151</f>
        <v>1.1990000000000001</v>
      </c>
      <c r="J151" s="93">
        <f>I151*100/C151</f>
        <v>99.916666666666671</v>
      </c>
      <c r="K151" s="73" t="s">
        <v>380</v>
      </c>
      <c r="L151" s="73" t="s">
        <v>193</v>
      </c>
      <c r="M151" s="73" t="s">
        <v>26</v>
      </c>
      <c r="N151" s="96">
        <v>0.89900000000000002</v>
      </c>
      <c r="O151" s="33">
        <v>6394</v>
      </c>
      <c r="P151" s="94">
        <v>5.42</v>
      </c>
      <c r="Q151" s="95" t="s">
        <v>135</v>
      </c>
      <c r="R151" s="95" t="s">
        <v>135</v>
      </c>
      <c r="S151" s="95" t="s">
        <v>135</v>
      </c>
      <c r="T151" s="96"/>
      <c r="U151" s="96"/>
      <c r="V151" s="95" t="s">
        <v>135</v>
      </c>
    </row>
    <row r="152" spans="1:22" ht="48.75" customHeight="1">
      <c r="A152" s="95">
        <v>65</v>
      </c>
      <c r="B152" s="99" t="s">
        <v>381</v>
      </c>
      <c r="C152" s="96">
        <v>0.33700000000000002</v>
      </c>
      <c r="D152" s="102">
        <v>2000</v>
      </c>
      <c r="E152" s="96">
        <f>C152-N152</f>
        <v>0.13400000000000001</v>
      </c>
      <c r="F152" s="34">
        <f t="shared" si="17"/>
        <v>39.762611275964389</v>
      </c>
      <c r="G152" s="92">
        <f>ROUND(E152-(E152*0.08),2)+N152</f>
        <v>0.32300000000000001</v>
      </c>
      <c r="H152" s="93">
        <f>G152*100/C152</f>
        <v>95.845697329376861</v>
      </c>
      <c r="I152" s="92">
        <f>ROUND(E152-(E152*0.016),2)+N152</f>
        <v>0.33300000000000002</v>
      </c>
      <c r="J152" s="93">
        <f>I152*100/C152</f>
        <v>98.813056379821958</v>
      </c>
      <c r="K152" s="73" t="s">
        <v>382</v>
      </c>
      <c r="L152" s="73" t="s">
        <v>193</v>
      </c>
      <c r="M152" s="73" t="s">
        <v>26</v>
      </c>
      <c r="N152" s="96">
        <v>0.20300000000000001</v>
      </c>
      <c r="O152" s="33">
        <v>1125</v>
      </c>
      <c r="P152" s="94">
        <v>1.2030000000000001</v>
      </c>
      <c r="Q152" s="95" t="s">
        <v>135</v>
      </c>
      <c r="R152" s="95" t="s">
        <v>135</v>
      </c>
      <c r="S152" s="95" t="s">
        <v>135</v>
      </c>
      <c r="T152" s="96"/>
      <c r="U152" s="96"/>
      <c r="V152" s="95" t="s">
        <v>135</v>
      </c>
    </row>
    <row r="153" spans="1:22" ht="69.75" customHeight="1">
      <c r="A153" s="95">
        <v>66</v>
      </c>
      <c r="B153" s="99" t="s">
        <v>383</v>
      </c>
      <c r="C153" s="113">
        <v>1.57</v>
      </c>
      <c r="D153" s="114">
        <v>15307</v>
      </c>
      <c r="E153" s="96">
        <v>0</v>
      </c>
      <c r="F153" s="34">
        <f t="shared" si="17"/>
        <v>0</v>
      </c>
      <c r="G153" s="89">
        <f t="shared" ref="G153:G159" si="18">ROUND(E153-(E153*0.1),2)</f>
        <v>0</v>
      </c>
      <c r="H153" s="34">
        <f t="shared" ref="H153:H160" si="19">G153*100/C153</f>
        <v>0</v>
      </c>
      <c r="I153" s="89">
        <f>ROUND(G153-(G153*0.1),2)+T153</f>
        <v>1.57</v>
      </c>
      <c r="J153" s="34">
        <f t="shared" ref="J153:J160" si="20">I153*100/C153</f>
        <v>100</v>
      </c>
      <c r="K153" s="95" t="s">
        <v>135</v>
      </c>
      <c r="L153" s="95" t="s">
        <v>135</v>
      </c>
      <c r="M153" s="95" t="s">
        <v>135</v>
      </c>
      <c r="N153" s="95"/>
      <c r="O153" s="98"/>
      <c r="P153" s="95" t="s">
        <v>135</v>
      </c>
      <c r="Q153" s="144" t="s">
        <v>399</v>
      </c>
      <c r="R153" s="73" t="s">
        <v>193</v>
      </c>
      <c r="S153" s="73" t="s">
        <v>26</v>
      </c>
      <c r="T153" s="95">
        <v>1.57</v>
      </c>
      <c r="U153" s="112">
        <v>15307</v>
      </c>
      <c r="V153" s="115">
        <v>14</v>
      </c>
    </row>
    <row r="154" spans="1:22" ht="48.75" customHeight="1">
      <c r="A154" s="95">
        <v>67</v>
      </c>
      <c r="B154" s="99" t="s">
        <v>384</v>
      </c>
      <c r="C154" s="96">
        <v>0.39200000000000002</v>
      </c>
      <c r="D154" s="102">
        <v>3920</v>
      </c>
      <c r="E154" s="96">
        <v>0</v>
      </c>
      <c r="F154" s="34">
        <f t="shared" si="17"/>
        <v>0</v>
      </c>
      <c r="G154" s="89">
        <f t="shared" si="18"/>
        <v>0</v>
      </c>
      <c r="H154" s="34">
        <f t="shared" si="19"/>
        <v>0</v>
      </c>
      <c r="I154" s="89">
        <f>ROUND(G154-(G154*0.1),2)+T154</f>
        <v>0.39200000000000002</v>
      </c>
      <c r="J154" s="34">
        <f t="shared" si="20"/>
        <v>100</v>
      </c>
      <c r="K154" s="95" t="s">
        <v>135</v>
      </c>
      <c r="L154" s="95" t="s">
        <v>135</v>
      </c>
      <c r="M154" s="95" t="s">
        <v>135</v>
      </c>
      <c r="N154" s="95"/>
      <c r="O154" s="98"/>
      <c r="P154" s="95" t="s">
        <v>135</v>
      </c>
      <c r="Q154" s="144" t="s">
        <v>398</v>
      </c>
      <c r="R154" s="73" t="s">
        <v>193</v>
      </c>
      <c r="S154" s="73" t="s">
        <v>26</v>
      </c>
      <c r="T154" s="95">
        <v>0.39200000000000002</v>
      </c>
      <c r="U154" s="112">
        <v>3920</v>
      </c>
      <c r="V154" s="115">
        <v>5</v>
      </c>
    </row>
    <row r="155" spans="1:22" ht="47.25">
      <c r="A155" s="95">
        <v>68</v>
      </c>
      <c r="B155" s="99" t="s">
        <v>385</v>
      </c>
      <c r="C155" s="96">
        <v>1.3740000000000001</v>
      </c>
      <c r="D155" s="102">
        <v>12024</v>
      </c>
      <c r="E155" s="96">
        <v>0</v>
      </c>
      <c r="F155" s="34">
        <f t="shared" si="17"/>
        <v>0</v>
      </c>
      <c r="G155" s="89">
        <f t="shared" si="18"/>
        <v>0</v>
      </c>
      <c r="H155" s="34">
        <f t="shared" si="19"/>
        <v>0</v>
      </c>
      <c r="I155" s="89">
        <f>ROUND(G155-(G155*0.1),2)+T155</f>
        <v>1.3740000000000001</v>
      </c>
      <c r="J155" s="34">
        <f t="shared" si="20"/>
        <v>100</v>
      </c>
      <c r="K155" s="95" t="s">
        <v>135</v>
      </c>
      <c r="L155" s="95" t="s">
        <v>135</v>
      </c>
      <c r="M155" s="95" t="s">
        <v>135</v>
      </c>
      <c r="N155" s="95"/>
      <c r="O155" s="98"/>
      <c r="P155" s="95" t="s">
        <v>135</v>
      </c>
      <c r="Q155" s="144" t="s">
        <v>397</v>
      </c>
      <c r="R155" s="73" t="s">
        <v>193</v>
      </c>
      <c r="S155" s="73" t="s">
        <v>26</v>
      </c>
      <c r="T155" s="95">
        <v>1.3740000000000001</v>
      </c>
      <c r="U155" s="112">
        <v>12024</v>
      </c>
      <c r="V155" s="115">
        <v>11</v>
      </c>
    </row>
    <row r="156" spans="1:22" ht="47.25">
      <c r="A156" s="95">
        <v>69</v>
      </c>
      <c r="B156" s="99" t="s">
        <v>386</v>
      </c>
      <c r="C156" s="96">
        <v>1.4</v>
      </c>
      <c r="D156" s="102">
        <v>8400</v>
      </c>
      <c r="E156" s="96">
        <v>0</v>
      </c>
      <c r="F156" s="34">
        <f t="shared" si="17"/>
        <v>0</v>
      </c>
      <c r="G156" s="89">
        <f t="shared" si="18"/>
        <v>0</v>
      </c>
      <c r="H156" s="34">
        <f t="shared" si="19"/>
        <v>0</v>
      </c>
      <c r="I156" s="89">
        <f>ROUND(G156-(G156*0.1),2)+T156</f>
        <v>1.4</v>
      </c>
      <c r="J156" s="34">
        <f t="shared" si="20"/>
        <v>100</v>
      </c>
      <c r="K156" s="95" t="s">
        <v>135</v>
      </c>
      <c r="L156" s="95" t="s">
        <v>135</v>
      </c>
      <c r="M156" s="95" t="s">
        <v>135</v>
      </c>
      <c r="N156" s="95"/>
      <c r="O156" s="98"/>
      <c r="P156" s="95" t="s">
        <v>135</v>
      </c>
      <c r="Q156" s="99" t="s">
        <v>386</v>
      </c>
      <c r="R156" s="73" t="s">
        <v>193</v>
      </c>
      <c r="S156" s="73" t="s">
        <v>26</v>
      </c>
      <c r="T156" s="95">
        <v>1.4</v>
      </c>
      <c r="U156" s="112">
        <v>8400</v>
      </c>
      <c r="V156" s="115">
        <v>8</v>
      </c>
    </row>
    <row r="157" spans="1:22" ht="47.25">
      <c r="A157" s="95">
        <v>70</v>
      </c>
      <c r="B157" s="99" t="s">
        <v>387</v>
      </c>
      <c r="C157" s="96">
        <v>3.73</v>
      </c>
      <c r="D157" s="102">
        <v>37300</v>
      </c>
      <c r="E157" s="96">
        <v>2.89</v>
      </c>
      <c r="F157" s="34">
        <f t="shared" si="17"/>
        <v>77.479892761394098</v>
      </c>
      <c r="G157" s="89">
        <f t="shared" si="18"/>
        <v>2.6</v>
      </c>
      <c r="H157" s="34">
        <f t="shared" si="19"/>
        <v>69.705093833780168</v>
      </c>
      <c r="I157" s="89">
        <f>ROUND(G157-(G157*0.08),2)+T157</f>
        <v>3.0310000000000001</v>
      </c>
      <c r="J157" s="34">
        <f t="shared" si="20"/>
        <v>81.260053619302951</v>
      </c>
      <c r="K157" s="95" t="s">
        <v>135</v>
      </c>
      <c r="L157" s="95" t="s">
        <v>135</v>
      </c>
      <c r="M157" s="95" t="s">
        <v>135</v>
      </c>
      <c r="N157" s="95"/>
      <c r="O157" s="98"/>
      <c r="P157" s="95" t="s">
        <v>135</v>
      </c>
      <c r="Q157" s="99" t="s">
        <v>388</v>
      </c>
      <c r="R157" s="73" t="s">
        <v>193</v>
      </c>
      <c r="S157" s="73" t="s">
        <v>26</v>
      </c>
      <c r="T157" s="95">
        <v>0.64100000000000001</v>
      </c>
      <c r="U157" s="112">
        <v>6410</v>
      </c>
      <c r="V157" s="115">
        <v>7</v>
      </c>
    </row>
    <row r="158" spans="1:22" ht="47.25">
      <c r="A158" s="95">
        <v>71</v>
      </c>
      <c r="B158" s="99" t="s">
        <v>389</v>
      </c>
      <c r="C158" s="96">
        <v>1.8680000000000001</v>
      </c>
      <c r="D158" s="102">
        <v>9340</v>
      </c>
      <c r="E158" s="96">
        <v>0</v>
      </c>
      <c r="F158" s="34">
        <f t="shared" si="17"/>
        <v>0</v>
      </c>
      <c r="G158" s="89">
        <f t="shared" si="18"/>
        <v>0</v>
      </c>
      <c r="H158" s="34">
        <f t="shared" si="19"/>
        <v>0</v>
      </c>
      <c r="I158" s="89">
        <f>ROUND(G158-(G158*0.1),2)+T158</f>
        <v>0.313</v>
      </c>
      <c r="J158" s="34">
        <f t="shared" si="20"/>
        <v>16.755888650963598</v>
      </c>
      <c r="K158" s="95" t="s">
        <v>135</v>
      </c>
      <c r="L158" s="95" t="s">
        <v>135</v>
      </c>
      <c r="M158" s="95" t="s">
        <v>135</v>
      </c>
      <c r="N158" s="95"/>
      <c r="O158" s="98"/>
      <c r="P158" s="95" t="s">
        <v>135</v>
      </c>
      <c r="Q158" s="99" t="s">
        <v>390</v>
      </c>
      <c r="R158" s="73" t="s">
        <v>193</v>
      </c>
      <c r="S158" s="73" t="s">
        <v>26</v>
      </c>
      <c r="T158" s="95">
        <v>0.313</v>
      </c>
      <c r="U158" s="112">
        <v>1565</v>
      </c>
      <c r="V158" s="115">
        <v>2</v>
      </c>
    </row>
    <row r="159" spans="1:22" ht="63">
      <c r="A159" s="95">
        <v>72</v>
      </c>
      <c r="B159" s="99" t="s">
        <v>391</v>
      </c>
      <c r="C159" s="96">
        <v>2.2690000000000001</v>
      </c>
      <c r="D159" s="106">
        <v>27228</v>
      </c>
      <c r="E159" s="96">
        <v>0.4</v>
      </c>
      <c r="F159" s="34">
        <f t="shared" si="17"/>
        <v>17.62891141472014</v>
      </c>
      <c r="G159" s="89">
        <f t="shared" si="18"/>
        <v>0.36</v>
      </c>
      <c r="H159" s="34">
        <f t="shared" si="19"/>
        <v>15.866020273248125</v>
      </c>
      <c r="I159" s="89">
        <f>ROUND(G159-(G159*0.08),2)+T159</f>
        <v>1.73</v>
      </c>
      <c r="J159" s="34">
        <f t="shared" si="20"/>
        <v>76.2450418686646</v>
      </c>
      <c r="K159" s="95" t="s">
        <v>135</v>
      </c>
      <c r="L159" s="95" t="s">
        <v>135</v>
      </c>
      <c r="M159" s="95" t="s">
        <v>135</v>
      </c>
      <c r="N159" s="116"/>
      <c r="O159" s="98"/>
      <c r="P159" s="95" t="s">
        <v>135</v>
      </c>
      <c r="Q159" s="99" t="s">
        <v>392</v>
      </c>
      <c r="R159" s="73" t="s">
        <v>193</v>
      </c>
      <c r="S159" s="73" t="s">
        <v>26</v>
      </c>
      <c r="T159" s="95">
        <v>1.4</v>
      </c>
      <c r="U159" s="112">
        <v>9800</v>
      </c>
      <c r="V159" s="115">
        <v>2</v>
      </c>
    </row>
    <row r="160" spans="1:22" s="123" customFormat="1" ht="32.25" customHeight="1">
      <c r="A160" s="117"/>
      <c r="B160" s="118"/>
      <c r="C160" s="119" t="e">
        <f>SUM(#REF!)</f>
        <v>#REF!</v>
      </c>
      <c r="D160" s="120" t="e">
        <f>SUM(#REF!)</f>
        <v>#REF!</v>
      </c>
      <c r="E160" s="119" t="e">
        <f>SUM(#REF!)</f>
        <v>#REF!</v>
      </c>
      <c r="F160" s="121" t="e">
        <f t="shared" si="17"/>
        <v>#REF!</v>
      </c>
      <c r="G160" s="119" t="e">
        <f>SUM(#REF!)</f>
        <v>#REF!</v>
      </c>
      <c r="H160" s="122" t="e">
        <f t="shared" si="19"/>
        <v>#REF!</v>
      </c>
      <c r="I160" s="119" t="e">
        <f>SUM(#REF!)</f>
        <v>#REF!</v>
      </c>
      <c r="J160" s="122" t="e">
        <f t="shared" si="20"/>
        <v>#REF!</v>
      </c>
      <c r="K160" s="117"/>
      <c r="L160" s="144" t="s">
        <v>193</v>
      </c>
      <c r="M160" s="153" t="s">
        <v>26</v>
      </c>
      <c r="N160" s="96">
        <f>N12+N25+N27+N33+N36+N39+N40+N41+N43+N44+N45+N46+N47+N48+N49+N50+N51+N52+N53+N56++N57+N58+N59+N60+N65+N66+N67+N68+N69+N71+N72+N73+N83+N86+N87++N92+N93+N100+N101+N102+N103+N105+N106+N107+N110+N114+N122+N125+N126+N128+N130+N132+N141+N142+N143+N151+N152+N30</f>
        <v>141.27899999999997</v>
      </c>
      <c r="O160" s="96">
        <f t="shared" ref="O160:P160" si="21">O12+O25+O27+O33+O36+O39+O40+O41+O43+O44+O45+O46+O47+O48+O49+O50+O51+O52+O53+O56++O57+O58+O59+O60+O65+O66+O67+O68+O69+O71+O72+O73+O83+O86+O87++O92+O93+O100+O101+O102+O103+O105+O106+O107+O110+O114+O122+O125+O126+O128+O130+O132+O141+O142+O143+O151+O152+O30</f>
        <v>2291368</v>
      </c>
      <c r="P160" s="96">
        <f>P12+P25+P27+P33+P36+P39+P40+P41+P43+P44+P45+P46+P47+P48+P49+P50+P51+P52+P53+P56++P57+P58+P59+P60+P65+P66+P67+P68+P69+P71+P72+P73+P83+P86+P87++P92+P93+P100+P101+P102+P103+P105+P106+P107+P110+P114+P122+P125+P126+P128+P130+P132+P141+P142+P143+P151+P152+P30</f>
        <v>2009.0110000000002</v>
      </c>
      <c r="Q160" s="143"/>
      <c r="R160" s="143"/>
      <c r="S160" s="143"/>
      <c r="T160" s="96">
        <f>T159+T158+T157+T156+T155+T154+T153+T144+T111+T78+T61</f>
        <v>27.592000000000002</v>
      </c>
      <c r="U160" s="96">
        <f t="shared" ref="U160:V160" si="22">U159+U158+U157+U156+U155+U154+U153+U144+U111+U78+U61</f>
        <v>365379</v>
      </c>
      <c r="V160" s="96">
        <f t="shared" si="22"/>
        <v>375.64300000000003</v>
      </c>
    </row>
    <row r="161" spans="1:22" s="123" customFormat="1" ht="83.25" customHeight="1">
      <c r="A161" s="117"/>
      <c r="B161" s="118"/>
      <c r="C161" s="119"/>
      <c r="D161" s="119"/>
      <c r="E161" s="119"/>
      <c r="F161" s="121"/>
      <c r="G161" s="119"/>
      <c r="H161" s="122"/>
      <c r="I161" s="119"/>
      <c r="J161" s="122"/>
      <c r="K161" s="117"/>
      <c r="L161" s="157" t="s">
        <v>393</v>
      </c>
      <c r="M161" s="153" t="s">
        <v>195</v>
      </c>
      <c r="N161" s="155">
        <f>N13+N14+N16+N17+N28+N34+N31+N37+N55+N76+N112+N113+N116+N119+N121+N134+N136+N150</f>
        <v>22</v>
      </c>
      <c r="O161" s="155"/>
      <c r="P161" s="155"/>
      <c r="Q161" s="153"/>
      <c r="R161" s="153"/>
      <c r="S161" s="153"/>
      <c r="T161" s="154"/>
      <c r="U161" s="154"/>
      <c r="V161" s="154"/>
    </row>
    <row r="162" spans="1:22" ht="31.5">
      <c r="A162" s="124"/>
      <c r="B162" s="125"/>
      <c r="C162" s="124"/>
      <c r="D162" s="95"/>
      <c r="E162" s="124"/>
      <c r="F162" s="126"/>
      <c r="G162" s="124"/>
      <c r="H162" s="126"/>
      <c r="I162" s="124"/>
      <c r="J162" s="126"/>
      <c r="K162" s="128"/>
      <c r="L162" s="144" t="s">
        <v>394</v>
      </c>
      <c r="M162" s="153" t="s">
        <v>195</v>
      </c>
      <c r="N162" s="155">
        <f>N15+N18+N19+N20+N21+N22+N23+N24+N35+N38+N42+N63+N70+N74+N75+N77+N81+N84+N85+N89+N90+N91+N94+N96++N97+N98+N99+N104+N115+N118++N120+N124+N127+N129+N133+N135+N137+N138+N139+N140+N145+N147+N148+N29</f>
        <v>97</v>
      </c>
      <c r="O162" s="155"/>
      <c r="P162" s="155"/>
      <c r="Q162" s="156"/>
      <c r="R162" s="156"/>
      <c r="S162" s="156"/>
      <c r="T162" s="156"/>
      <c r="U162" s="156"/>
      <c r="V162" s="156"/>
    </row>
    <row r="163" spans="1:22" ht="17.25" customHeight="1"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</row>
    <row r="164" spans="1:22" s="32" customFormat="1" ht="18.75">
      <c r="B164" s="131"/>
      <c r="C164" s="131"/>
      <c r="D164" s="131"/>
      <c r="E164" s="131"/>
      <c r="F164" s="131"/>
      <c r="G164" s="131"/>
      <c r="H164" s="131"/>
      <c r="I164" s="131"/>
      <c r="J164" s="131"/>
      <c r="K164" s="36" t="s">
        <v>88</v>
      </c>
      <c r="L164" s="36"/>
      <c r="N164" s="132"/>
      <c r="O164" s="133"/>
      <c r="S164" s="222" t="s">
        <v>113</v>
      </c>
      <c r="T164" s="222"/>
      <c r="U164" s="222"/>
      <c r="V164" s="222"/>
    </row>
    <row r="165" spans="1:22">
      <c r="B165" s="259"/>
      <c r="C165" s="259"/>
      <c r="D165" s="259"/>
      <c r="E165" s="259"/>
      <c r="F165" s="259"/>
      <c r="G165" s="259"/>
      <c r="H165" s="259"/>
      <c r="I165" s="259"/>
      <c r="J165" s="259"/>
      <c r="R165" s="127"/>
    </row>
    <row r="166" spans="1:22">
      <c r="B166" s="259"/>
      <c r="C166" s="259"/>
      <c r="D166" s="259"/>
      <c r="E166" s="259"/>
      <c r="F166" s="259"/>
      <c r="G166" s="259"/>
      <c r="H166" s="259"/>
      <c r="I166" s="259"/>
      <c r="J166" s="259"/>
    </row>
  </sheetData>
  <mergeCells count="113">
    <mergeCell ref="S164:V164"/>
    <mergeCell ref="A53:A54"/>
    <mergeCell ref="A73:A76"/>
    <mergeCell ref="K74:K76"/>
    <mergeCell ref="A93:A95"/>
    <mergeCell ref="A114:A115"/>
    <mergeCell ref="A132:A135"/>
    <mergeCell ref="A136:A140"/>
    <mergeCell ref="B163:K163"/>
    <mergeCell ref="S136:S137"/>
    <mergeCell ref="T136:T137"/>
    <mergeCell ref="U136:U137"/>
    <mergeCell ref="V136:V137"/>
    <mergeCell ref="Q136:Q137"/>
    <mergeCell ref="R136:R137"/>
    <mergeCell ref="U108:U109"/>
    <mergeCell ref="V108:V109"/>
    <mergeCell ref="O108:O109"/>
    <mergeCell ref="P108:P109"/>
    <mergeCell ref="Q108:Q109"/>
    <mergeCell ref="R108:R109"/>
    <mergeCell ref="S108:S109"/>
    <mergeCell ref="T108:T109"/>
    <mergeCell ref="A108:A109"/>
    <mergeCell ref="B165:J165"/>
    <mergeCell ref="B166:J166"/>
    <mergeCell ref="A36:A37"/>
    <mergeCell ref="A61:A62"/>
    <mergeCell ref="B145:B147"/>
    <mergeCell ref="A148:A150"/>
    <mergeCell ref="B148:B150"/>
    <mergeCell ref="K148:K150"/>
    <mergeCell ref="B138:B140"/>
    <mergeCell ref="B132:B137"/>
    <mergeCell ref="K134:K135"/>
    <mergeCell ref="K136:K137"/>
    <mergeCell ref="A123:A124"/>
    <mergeCell ref="B123:B124"/>
    <mergeCell ref="K123:K124"/>
    <mergeCell ref="A126:A127"/>
    <mergeCell ref="B126:B127"/>
    <mergeCell ref="A128:A129"/>
    <mergeCell ref="B128:B129"/>
    <mergeCell ref="B111:B113"/>
    <mergeCell ref="B114:B121"/>
    <mergeCell ref="K118:K119"/>
    <mergeCell ref="B108:B109"/>
    <mergeCell ref="K108:K109"/>
    <mergeCell ref="L108:L109"/>
    <mergeCell ref="M108:M109"/>
    <mergeCell ref="N108:N109"/>
    <mergeCell ref="B93:B96"/>
    <mergeCell ref="A97:A99"/>
    <mergeCell ref="B97:B99"/>
    <mergeCell ref="A103:A104"/>
    <mergeCell ref="B103:B104"/>
    <mergeCell ref="B78:B81"/>
    <mergeCell ref="A79:A81"/>
    <mergeCell ref="K79:K81"/>
    <mergeCell ref="A83:A85"/>
    <mergeCell ref="B83:B85"/>
    <mergeCell ref="B89:B91"/>
    <mergeCell ref="T8:T10"/>
    <mergeCell ref="U8:U10"/>
    <mergeCell ref="V8:V10"/>
    <mergeCell ref="B61:B64"/>
    <mergeCell ref="K63:K64"/>
    <mergeCell ref="B69:B70"/>
    <mergeCell ref="B73:B77"/>
    <mergeCell ref="A88:A89"/>
    <mergeCell ref="A90:A91"/>
    <mergeCell ref="B36:B38"/>
    <mergeCell ref="A41:A42"/>
    <mergeCell ref="B41:B42"/>
    <mergeCell ref="B53:B55"/>
    <mergeCell ref="A27:A29"/>
    <mergeCell ref="B27:B29"/>
    <mergeCell ref="K28:K29"/>
    <mergeCell ref="B30:B32"/>
    <mergeCell ref="A33:A35"/>
    <mergeCell ref="B33:B35"/>
    <mergeCell ref="K34:K35"/>
    <mergeCell ref="A11:V11"/>
    <mergeCell ref="B12:B24"/>
    <mergeCell ref="K13:K15"/>
    <mergeCell ref="K17:K18"/>
    <mergeCell ref="A25:A26"/>
    <mergeCell ref="B25:B26"/>
    <mergeCell ref="A12:A15"/>
    <mergeCell ref="B2:E2"/>
    <mergeCell ref="T3:V3"/>
    <mergeCell ref="A6:A10"/>
    <mergeCell ref="B6:B9"/>
    <mergeCell ref="C6:D9"/>
    <mergeCell ref="E6:J6"/>
    <mergeCell ref="K6:V6"/>
    <mergeCell ref="E7:F9"/>
    <mergeCell ref="G7:J7"/>
    <mergeCell ref="K7:P7"/>
    <mergeCell ref="Q7:V7"/>
    <mergeCell ref="G8:H9"/>
    <mergeCell ref="I8:J9"/>
    <mergeCell ref="K8:K9"/>
    <mergeCell ref="L8:L10"/>
    <mergeCell ref="A4:V5"/>
    <mergeCell ref="T2:V2"/>
    <mergeCell ref="M8:M10"/>
    <mergeCell ref="N8:N10"/>
    <mergeCell ref="O8:O10"/>
    <mergeCell ref="P8:P10"/>
    <mergeCell ref="Q8:Q9"/>
    <mergeCell ref="R8:R10"/>
    <mergeCell ref="S8:S10"/>
  </mergeCells>
  <pageMargins left="0.35433070866141736" right="0" top="0.55118110236220474" bottom="7.874015748031496E-2" header="0.31496062992125984" footer="0.31496062992125984"/>
  <pageSetup paperSize="9" scale="85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прил.1</vt:lpstr>
      <vt:lpstr>прил.2</vt:lpstr>
      <vt:lpstr>прил.3</vt:lpstr>
      <vt:lpstr>прил.4</vt:lpstr>
      <vt:lpstr>прил.1!Заголовки_для_печати</vt:lpstr>
      <vt:lpstr>прил.2!Заголовки_для_печати</vt:lpstr>
      <vt:lpstr>прил.3!Заголовки_для_печати</vt:lpstr>
      <vt:lpstr>прил.4!Заголовки_для_печати</vt:lpstr>
      <vt:lpstr>прил.4!Область_печати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2017-02-08T10:02:50Z</cp:lastPrinted>
  <dcterms:created xsi:type="dcterms:W3CDTF">2005-05-11T09:34:44Z</dcterms:created>
  <dcterms:modified xsi:type="dcterms:W3CDTF">2017-03-02T12:19:34Z</dcterms:modified>
</cp:coreProperties>
</file>