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2805" windowWidth="19005" windowHeight="9000"/>
  </bookViews>
  <sheets>
    <sheet name="печать" sheetId="7" r:id="rId1"/>
  </sheets>
  <definedNames>
    <definedName name="_xlnm._FilterDatabase" localSheetId="0" hidden="1">печать!$A$8:$J$8</definedName>
    <definedName name="_xlnm.Print_Titles" localSheetId="0">печать!$A:$J,печать!$6:$7</definedName>
    <definedName name="_xlnm.Print_Area" localSheetId="0">печать!$A$2:$J$182</definedName>
  </definedNames>
  <calcPr calcId="145621"/>
</workbook>
</file>

<file path=xl/calcChain.xml><?xml version="1.0" encoding="utf-8"?>
<calcChain xmlns="http://schemas.openxmlformats.org/spreadsheetml/2006/main">
  <c r="J150" i="7" l="1"/>
  <c r="H150" i="7"/>
  <c r="G150" i="7"/>
  <c r="E150" i="7"/>
  <c r="J148" i="7"/>
  <c r="G148" i="7"/>
  <c r="G147" i="7"/>
  <c r="E147" i="7" s="1"/>
  <c r="K147" i="7" s="1"/>
  <c r="E146" i="7"/>
  <c r="K146" i="7" s="1"/>
  <c r="H145" i="7"/>
  <c r="J145" i="7" s="1"/>
  <c r="E145" i="7"/>
  <c r="G145" i="7" s="1"/>
  <c r="H144" i="7"/>
  <c r="J144" i="7" s="1"/>
  <c r="E144" i="7"/>
  <c r="G144" i="7" s="1"/>
  <c r="L144" i="7" s="1"/>
  <c r="J143" i="7"/>
  <c r="H143" i="7" s="1"/>
  <c r="J142" i="7"/>
  <c r="J141" i="7"/>
  <c r="J140" i="7"/>
  <c r="G140" i="7"/>
  <c r="E140" i="7" s="1"/>
  <c r="J139" i="7"/>
  <c r="H139" i="7"/>
  <c r="J138" i="7"/>
  <c r="H138" i="7" s="1"/>
  <c r="G138" i="7"/>
  <c r="E138" i="7" s="1"/>
  <c r="J137" i="7"/>
  <c r="H137" i="7" s="1"/>
  <c r="J136" i="7"/>
  <c r="H136" i="7"/>
  <c r="J135" i="7"/>
  <c r="H135" i="7"/>
  <c r="G135" i="7"/>
  <c r="L135" i="7" s="1"/>
  <c r="K134" i="7"/>
  <c r="G134" i="7"/>
  <c r="K133" i="7"/>
  <c r="G133" i="7"/>
  <c r="L132" i="7"/>
  <c r="J132" i="7"/>
  <c r="H132" i="7" s="1"/>
  <c r="G132" i="7"/>
  <c r="K131" i="7"/>
  <c r="G131" i="7"/>
  <c r="K130" i="7"/>
  <c r="G130" i="7"/>
  <c r="K129" i="7"/>
  <c r="G129" i="7"/>
  <c r="K128" i="7"/>
  <c r="G128" i="7"/>
  <c r="J127" i="7"/>
  <c r="H127" i="7" s="1"/>
  <c r="H126" i="7"/>
  <c r="J126" i="7" s="1"/>
  <c r="J125" i="7"/>
  <c r="J124" i="7"/>
  <c r="J123" i="7"/>
  <c r="J122" i="7"/>
  <c r="J121" i="7"/>
  <c r="J120" i="7"/>
  <c r="H120" i="7"/>
  <c r="G120" i="7"/>
  <c r="J119" i="7"/>
  <c r="H119" i="7" s="1"/>
  <c r="G119" i="7"/>
  <c r="J118" i="7"/>
  <c r="H118" i="7"/>
  <c r="G118" i="7"/>
  <c r="E118" i="7" s="1"/>
  <c r="H117" i="7"/>
  <c r="J117" i="7" s="1"/>
  <c r="J116" i="7"/>
  <c r="H116" i="7" s="1"/>
  <c r="J115" i="7"/>
  <c r="H115" i="7" s="1"/>
  <c r="J114" i="7"/>
  <c r="H114" i="7" s="1"/>
  <c r="J113" i="7"/>
  <c r="H113" i="7"/>
  <c r="J112" i="7"/>
  <c r="J111" i="7"/>
  <c r="H111" i="7" s="1"/>
  <c r="G111" i="7"/>
  <c r="L111" i="7" s="1"/>
  <c r="G110" i="7"/>
  <c r="L110" i="7" s="1"/>
  <c r="L109" i="7"/>
  <c r="E109" i="7"/>
  <c r="L108" i="7"/>
  <c r="E108" i="7"/>
  <c r="G107" i="7"/>
  <c r="L107" i="7" s="1"/>
  <c r="K106" i="7"/>
  <c r="G106" i="7"/>
  <c r="K105" i="7"/>
  <c r="J105" i="7"/>
  <c r="H105" i="7" s="1"/>
  <c r="G105" i="7"/>
  <c r="G104" i="7"/>
  <c r="L104" i="7" s="1"/>
  <c r="K103" i="7"/>
  <c r="G103" i="7"/>
  <c r="K102" i="7"/>
  <c r="J102" i="7"/>
  <c r="H102" i="7" s="1"/>
  <c r="G102" i="7"/>
  <c r="J101" i="7"/>
  <c r="H101" i="7" s="1"/>
  <c r="G101" i="7"/>
  <c r="L101" i="7" s="1"/>
  <c r="K100" i="7"/>
  <c r="G100" i="7"/>
  <c r="J99" i="7"/>
  <c r="G99" i="7"/>
  <c r="L99" i="7" s="1"/>
  <c r="K98" i="7"/>
  <c r="G98" i="7"/>
  <c r="K97" i="7"/>
  <c r="G97" i="7"/>
  <c r="K96" i="7"/>
  <c r="G96" i="7"/>
  <c r="K95" i="7"/>
  <c r="G95" i="7"/>
  <c r="K94" i="7"/>
  <c r="G94" i="7"/>
  <c r="K93" i="7"/>
  <c r="G93" i="7"/>
  <c r="K92" i="7"/>
  <c r="G92" i="7"/>
  <c r="K91" i="7"/>
  <c r="G91" i="7"/>
  <c r="J90" i="7"/>
  <c r="G90" i="7"/>
  <c r="J89" i="7"/>
  <c r="G89" i="7"/>
  <c r="L89" i="7" s="1"/>
  <c r="K88" i="7"/>
  <c r="J88" i="7"/>
  <c r="G88" i="7"/>
  <c r="J87" i="7"/>
  <c r="H87" i="7" s="1"/>
  <c r="J86" i="7"/>
  <c r="H86" i="7" s="1"/>
  <c r="G86" i="7"/>
  <c r="L85" i="7"/>
  <c r="J85" i="7"/>
  <c r="H85" i="7" s="1"/>
  <c r="G85" i="7"/>
  <c r="K84" i="7"/>
  <c r="G84" i="7"/>
  <c r="G83" i="7"/>
  <c r="G82" i="7"/>
  <c r="K82" i="7" s="1"/>
  <c r="H81" i="7"/>
  <c r="E81" i="7"/>
  <c r="L80" i="7"/>
  <c r="H80" i="7"/>
  <c r="E80" i="7"/>
  <c r="J79" i="7"/>
  <c r="G79" i="7"/>
  <c r="L79" i="7" s="1"/>
  <c r="J78" i="7"/>
  <c r="H78" i="7" s="1"/>
  <c r="G78" i="7"/>
  <c r="L78" i="7" s="1"/>
  <c r="L77" i="7"/>
  <c r="G77" i="7"/>
  <c r="G76" i="7"/>
  <c r="L76" i="7" s="1"/>
  <c r="G75" i="7"/>
  <c r="L75" i="7" s="1"/>
  <c r="J74" i="7"/>
  <c r="J73" i="7"/>
  <c r="J72" i="7"/>
  <c r="J71" i="7"/>
  <c r="J70" i="7"/>
  <c r="H70" i="7" s="1"/>
  <c r="G70" i="7"/>
  <c r="J69" i="7"/>
  <c r="H69" i="7" s="1"/>
  <c r="G69" i="7"/>
  <c r="L69" i="7" s="1"/>
  <c r="J68" i="7"/>
  <c r="J67" i="7"/>
  <c r="H67" i="7" s="1"/>
  <c r="J66" i="7"/>
  <c r="J65" i="7"/>
  <c r="G65" i="7"/>
  <c r="E65" i="7"/>
  <c r="J64" i="7"/>
  <c r="G64" i="7"/>
  <c r="E64" i="7" s="1"/>
  <c r="J63" i="7"/>
  <c r="G63" i="7"/>
  <c r="E63" i="7" s="1"/>
  <c r="J62" i="7"/>
  <c r="G62" i="7"/>
  <c r="E62" i="7" s="1"/>
  <c r="J61" i="7"/>
  <c r="G61" i="7"/>
  <c r="K61" i="7" s="1"/>
  <c r="H60" i="7"/>
  <c r="G60" i="7"/>
  <c r="J59" i="7"/>
  <c r="H59" i="7" s="1"/>
  <c r="G59" i="7"/>
  <c r="L59" i="7" s="1"/>
  <c r="K58" i="7"/>
  <c r="H58" i="7"/>
  <c r="G58" i="7"/>
  <c r="H57" i="7"/>
  <c r="J57" i="7" s="1"/>
  <c r="H56" i="7"/>
  <c r="J56" i="7" s="1"/>
  <c r="G56" i="7"/>
  <c r="L56" i="7" s="1"/>
  <c r="K55" i="7"/>
  <c r="J55" i="7"/>
  <c r="G55" i="7"/>
  <c r="K54" i="7"/>
  <c r="G54" i="7"/>
  <c r="H53" i="7"/>
  <c r="E53" i="7"/>
  <c r="L52" i="7"/>
  <c r="H52" i="7"/>
  <c r="E52" i="7"/>
  <c r="H51" i="7"/>
  <c r="G51" i="7"/>
  <c r="E51" i="7" s="1"/>
  <c r="K51" i="7" s="1"/>
  <c r="G50" i="7"/>
  <c r="K49" i="7"/>
  <c r="G49" i="7"/>
  <c r="E48" i="7"/>
  <c r="D48" i="7"/>
  <c r="J45" i="7"/>
  <c r="H45" i="7" s="1"/>
  <c r="G45" i="7"/>
  <c r="E45" i="7" s="1"/>
  <c r="J43" i="7"/>
  <c r="H43" i="7" s="1"/>
  <c r="G43" i="7"/>
  <c r="J42" i="7"/>
  <c r="H42" i="7"/>
  <c r="G42" i="7"/>
  <c r="L41" i="7"/>
  <c r="J41" i="7"/>
  <c r="H41" i="7" s="1"/>
  <c r="G41" i="7"/>
  <c r="J40" i="7"/>
  <c r="H40" i="7"/>
  <c r="G40" i="7"/>
  <c r="L40" i="7" s="1"/>
  <c r="K39" i="7"/>
  <c r="G39" i="7"/>
  <c r="J38" i="7"/>
  <c r="J37" i="7"/>
  <c r="H37" i="7"/>
  <c r="J36" i="7"/>
  <c r="H36" i="7"/>
  <c r="J35" i="7"/>
  <c r="H35" i="7"/>
  <c r="G35" i="7"/>
  <c r="E35" i="7"/>
  <c r="J34" i="7"/>
  <c r="H34" i="7" s="1"/>
  <c r="J33" i="7"/>
  <c r="H33" i="7" s="1"/>
  <c r="J32" i="7"/>
  <c r="H32" i="7" s="1"/>
  <c r="J31" i="7"/>
  <c r="H31" i="7" s="1"/>
  <c r="D31" i="7"/>
  <c r="G30" i="7"/>
  <c r="G29" i="7"/>
  <c r="L29" i="7" s="1"/>
  <c r="K28" i="7"/>
  <c r="G28" i="7"/>
  <c r="E27" i="7"/>
  <c r="K27" i="7" s="1"/>
  <c r="D27" i="7"/>
  <c r="J26" i="7"/>
  <c r="G26" i="7"/>
  <c r="H25" i="7"/>
  <c r="J25" i="7" s="1"/>
  <c r="E25" i="7"/>
  <c r="G25" i="7" s="1"/>
  <c r="L25" i="7" s="1"/>
  <c r="J24" i="7"/>
  <c r="H24" i="7" s="1"/>
  <c r="G23" i="7"/>
  <c r="J22" i="7"/>
  <c r="H22" i="7" s="1"/>
  <c r="J21" i="7"/>
  <c r="H21" i="7" s="1"/>
  <c r="J20" i="7"/>
  <c r="H20" i="7" s="1"/>
  <c r="J19" i="7"/>
  <c r="H19" i="7" s="1"/>
  <c r="G19" i="7"/>
  <c r="E19" i="7" s="1"/>
  <c r="J18" i="7"/>
  <c r="H18" i="7" s="1"/>
  <c r="G18" i="7"/>
  <c r="E18" i="7" s="1"/>
  <c r="J17" i="7"/>
  <c r="H17" i="7"/>
  <c r="J16" i="7"/>
  <c r="H16" i="7" s="1"/>
  <c r="J15" i="7"/>
  <c r="H15" i="7" s="1"/>
  <c r="G15" i="7"/>
  <c r="E15" i="7" s="1"/>
  <c r="J14" i="7"/>
  <c r="H14" i="7" s="1"/>
  <c r="G14" i="7"/>
  <c r="E14" i="7" s="1"/>
  <c r="J13" i="7"/>
  <c r="J12" i="7"/>
  <c r="G12" i="7"/>
  <c r="L12" i="7" s="1"/>
  <c r="K11" i="7"/>
  <c r="E11" i="7"/>
  <c r="E9" i="7"/>
  <c r="E119" i="7" l="1"/>
  <c r="H61" i="7"/>
  <c r="H121" i="7"/>
  <c r="E42" i="7"/>
  <c r="E44" i="7" s="1"/>
  <c r="E46" i="7" s="1"/>
  <c r="H64" i="7"/>
  <c r="J44" i="7"/>
  <c r="J46" i="7" s="1"/>
  <c r="G149" i="7"/>
  <c r="G151" i="7" s="1"/>
  <c r="H71" i="7"/>
  <c r="H123" i="7"/>
  <c r="H140" i="7"/>
  <c r="J149" i="7"/>
  <c r="J151" i="7" s="1"/>
  <c r="L46" i="7"/>
  <c r="E149" i="7"/>
  <c r="E151" i="7" s="1"/>
  <c r="K48" i="7"/>
  <c r="K151" i="7" s="1"/>
  <c r="K152" i="7" s="1"/>
  <c r="K154" i="7" s="1"/>
  <c r="L50" i="7"/>
  <c r="L151" i="7" s="1"/>
  <c r="K9" i="7"/>
  <c r="H12" i="7"/>
  <c r="H44" i="7" s="1"/>
  <c r="H46" i="7" s="1"/>
  <c r="G44" i="7"/>
  <c r="G46" i="7" s="1"/>
  <c r="G152" i="7" s="1"/>
  <c r="H149" i="7" l="1"/>
  <c r="H151" i="7" s="1"/>
  <c r="H152" i="7" s="1"/>
  <c r="L152" i="7"/>
  <c r="L154" i="7" s="1"/>
  <c r="J152" i="7"/>
  <c r="K46" i="7"/>
  <c r="K8" i="7" s="1"/>
  <c r="K4" i="7" s="1"/>
  <c r="E152" i="7"/>
</calcChain>
</file>

<file path=xl/sharedStrings.xml><?xml version="1.0" encoding="utf-8"?>
<sst xmlns="http://schemas.openxmlformats.org/spreadsheetml/2006/main" count="362" uniqueCount="262">
  <si>
    <t>ОТЧЕТ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</si>
  <si>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</si>
  <si>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</si>
  <si>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</si>
  <si>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</si>
  <si>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</si>
  <si>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</si>
  <si>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</si>
  <si>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</si>
  <si>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</si>
  <si>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</si>
  <si>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</si>
  <si>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</si>
  <si>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__</t>
  </si>
  <si>
    <t>ПИР, СМР. Строительство сетей водоснабжения в микрорайоне Никольское</t>
  </si>
  <si>
    <t>ООО "ЭкоСтрой"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</si>
  <si>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</si>
  <si>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</si>
  <si>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</si>
  <si>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</si>
  <si>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</si>
  <si>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ООО "Укрепрайон"</t>
  </si>
  <si>
    <t>АО "МАЙ ПРОЕКТ"</t>
  </si>
  <si>
    <t>ПИР, СМР. Строительство канализационных сетей и сооружений в микрорайоне Никольское</t>
  </si>
  <si>
    <t xml:space="preserve">ПИР, СМР. Реконструкция канализационных линий от многоквартирных домов, расположенных по пр. Труда №73-87 с подключением к муниципальным сетям </t>
  </si>
  <si>
    <t>Строительство Сочинского коллектора</t>
  </si>
  <si>
    <t>Создание гидравлической модели работы системы водоотведения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</si>
  <si>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</si>
  <si>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</si>
  <si>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</si>
  <si>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</si>
  <si>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>Справочно</t>
  </si>
  <si>
    <t>Структура финансовых потоков по инвестиционной программе (ИП), тыс.руб.</t>
  </si>
  <si>
    <t>Показатель</t>
  </si>
  <si>
    <t>Начисление</t>
  </si>
  <si>
    <t>Финансирование</t>
  </si>
  <si>
    <t xml:space="preserve">Выполнение / Финансирование мероприятий ИП, с НДС </t>
  </si>
  <si>
    <t>Привлечение кредитов</t>
  </si>
  <si>
    <t>Расходы на обслуживание кредитов с НДС, в т.ч.</t>
  </si>
  <si>
    <t xml:space="preserve">- банковская гарантия </t>
  </si>
  <si>
    <t>- расходы на %% по кредитам</t>
  </si>
  <si>
    <t>НДС итого (обязательство по уплате в бюджет (+) / к возмещению из бюджета (-)), в т. ч.</t>
  </si>
  <si>
    <t>Возмещение НДС с расходов по инвестиционным мероприятиям</t>
  </si>
  <si>
    <t>НДС к уплате (расчетный)</t>
  </si>
  <si>
    <t>Выручка по ВиВ в части инвест составляющей с НДС / Поступление выручки по ВиВ в части инвест составляющей с НДС за вычетом резерва по дебиторской задолженности</t>
  </si>
  <si>
    <t xml:space="preserve">Финансовый директор </t>
  </si>
  <si>
    <t>С.В. Туршатова</t>
  </si>
  <si>
    <t>Начальник ОРИП</t>
  </si>
  <si>
    <t>Е.С. Александрова</t>
  </si>
  <si>
    <t>ИП Строительство цеха механического обезвоживания осадка (ЦМО) на ПОС ПИР.СМР.</t>
  </si>
  <si>
    <t>ООО УК "РОСВОДОКАНАЛ"</t>
  </si>
  <si>
    <t>№ 138/14 от 12.03.2014г.</t>
  </si>
  <si>
    <t>№ 361/17 от 29.06.2017</t>
  </si>
  <si>
    <t>ПИР, СМР. Реконструкция очистных сооружений с деманганацией подземных вод на ВПС-12 (инв. №10000234)</t>
  </si>
  <si>
    <t>ПИР, СМР. Реконструкция очистных сооружений с деманганацией подземных вод на ВПС-8 (инв. №10000137)</t>
  </si>
  <si>
    <t>ООО "Полипластик Поволжье"</t>
  </si>
  <si>
    <t>ПИР, СМР. Реконструкция канализационной линии по ул. Дубровина Д=250-450мм протяжённостью L=1700 п.м. (инв. №30014578 «Канализационные сети Левобережного района»)</t>
  </si>
  <si>
    <t>№ 653/17 от 11.10.2017</t>
  </si>
  <si>
    <t>Реконструкция участка канализационных сетей п. Первого мая</t>
  </si>
  <si>
    <t>№840/17 от 15.12.2017</t>
  </si>
  <si>
    <t>№855/17 от 20.12.2017</t>
  </si>
  <si>
    <t>ФГБУ "Центр лабораторного анализа и технических измерений по Центральному федеральному округу"</t>
  </si>
  <si>
    <t>№843/17 от 15.12.2017</t>
  </si>
  <si>
    <t>№862/17 от 21.12.2017</t>
  </si>
  <si>
    <t>за 1 квартал 2018 года</t>
  </si>
  <si>
    <t xml:space="preserve">Реконструкция канализационного дюкера по ул.Серова </t>
  </si>
  <si>
    <t>№728/17 от 14.11.2017</t>
  </si>
  <si>
    <t xml:space="preserve"> №861/17 от 21.12.2017</t>
  </si>
  <si>
    <t>№695/17 от 27.10.2017</t>
  </si>
  <si>
    <t xml:space="preserve">ООО БМА Руссланд </t>
  </si>
  <si>
    <t>ООО "ВАГ-Арматурен Рус"</t>
  </si>
  <si>
    <t>ООО "КОРПОРАЦИЯ МЕТАЛЛИНВЕСТ"</t>
  </si>
  <si>
    <t>ООО "Ариэль Металл"</t>
  </si>
  <si>
    <t>№468/15 от 16.10.2015</t>
  </si>
  <si>
    <t>№427/15 от 30.09.2015</t>
  </si>
  <si>
    <t>Капитализация процентов январь</t>
  </si>
  <si>
    <t>Капитализация процентов февраль</t>
  </si>
  <si>
    <t xml:space="preserve"> №845/17 от 15.12.2017</t>
  </si>
  <si>
    <t>№47/17 от 03.02.17</t>
  </si>
  <si>
    <t>№48/17 от 02.02.17</t>
  </si>
  <si>
    <t>№52/17 от 06.02.17</t>
  </si>
  <si>
    <t>№53/17 от 06.02.17</t>
  </si>
  <si>
    <t>№ 56/17 от 07.02.2017</t>
  </si>
  <si>
    <t>ООО "ГЕА Вестфалия Сепаратор Си Ай Эс"</t>
  </si>
  <si>
    <t>ООО "Промкабель"</t>
  </si>
  <si>
    <t>ООО "МАГИСТРАЛЬ ТЕЛЕКОМ"</t>
  </si>
  <si>
    <t>ООО "КАМАЗТЕХОБСЛУЖИВАНИЕ"</t>
  </si>
  <si>
    <t>ООО "Гидропомпа"</t>
  </si>
  <si>
    <t>70,330                   в месяц</t>
  </si>
  <si>
    <t>№754/17 от 22.11.2017</t>
  </si>
  <si>
    <t>№772/17 от 28.11.2017</t>
  </si>
  <si>
    <t>№688/17 от 25.10.2017</t>
  </si>
  <si>
    <t>№729/17 от 14.11.2017</t>
  </si>
  <si>
    <t xml:space="preserve"> №775/17 от 28.11.2017</t>
  </si>
  <si>
    <t>№778/17 от 28.11.2017</t>
  </si>
  <si>
    <t>№749/17 от 20.11.2017</t>
  </si>
  <si>
    <t>№ 738/17 от 17.11.2017</t>
  </si>
  <si>
    <t>№879/17 от 26.12.2017</t>
  </si>
  <si>
    <t>№ 138/14 от 12.03.2014</t>
  </si>
  <si>
    <t>Давальческий материал (январь)</t>
  </si>
  <si>
    <t>МКП "УПРАВЛЕНИЕ ГЛАВНОГО АРХИТЕКТОРА"</t>
  </si>
  <si>
    <t>ООО "Новый проект"</t>
  </si>
  <si>
    <t>ООО "Формматериалы"</t>
  </si>
  <si>
    <t>ООО "Инекс"</t>
  </si>
  <si>
    <t>ООО "Бурспецмонтаж"</t>
  </si>
  <si>
    <t>ООО "ВоронежТехСтрой"</t>
  </si>
  <si>
    <t>ООО "СК Инженерные сети"</t>
  </si>
  <si>
    <t>АО "Электроагрегат"</t>
  </si>
  <si>
    <t xml:space="preserve">№702/17 от 31.10.2017 </t>
  </si>
  <si>
    <t>ТД Глобус</t>
  </si>
  <si>
    <t>№894/17 от 28.12.2017</t>
  </si>
  <si>
    <t>№115/18 от 16.01.2018</t>
  </si>
  <si>
    <t xml:space="preserve">  ОАО "РЖД"</t>
  </si>
  <si>
    <t>№433/17 от 25.07.2017</t>
  </si>
  <si>
    <t>ООО "Гнб36строй"</t>
  </si>
  <si>
    <t>№750/17 от 20.11.2017</t>
  </si>
  <si>
    <t>№337/16 от 21.07.16</t>
  </si>
  <si>
    <t>ООО НПП "Компьютерные технологии"</t>
  </si>
  <si>
    <t>Капитализация процентов (февраль)</t>
  </si>
  <si>
    <t>Капитализация процентов (январь)</t>
  </si>
  <si>
    <t>540/16 от 03.11.2016</t>
  </si>
  <si>
    <t>ООО "Технологии 21 век"</t>
  </si>
  <si>
    <t>ООО "Стройинжиниринг"</t>
  </si>
  <si>
    <t xml:space="preserve"> №642/17 от 09.10.2017</t>
  </si>
  <si>
    <t>№107 от 12.01.2018</t>
  </si>
  <si>
    <t>№712/17 от 09.11.2017</t>
  </si>
  <si>
    <t>№396 от 26.01.2018</t>
  </si>
  <si>
    <t>№365/16 от 08.08.2016</t>
  </si>
  <si>
    <t>№434 от 29.01.2018</t>
  </si>
  <si>
    <t>корректировка долга</t>
  </si>
  <si>
    <t>№880/17 от 26.12.2017</t>
  </si>
  <si>
    <t>ООО "Промышленные технологии"</t>
  </si>
  <si>
    <t>ООО "СК ЕВРОМОНТАЖ"</t>
  </si>
  <si>
    <t>ООО "ЭНЕРГОСТРОЙ"</t>
  </si>
  <si>
    <t>№2026 от 19.03.2018</t>
  </si>
  <si>
    <t>№2259 от 26.03.2018</t>
  </si>
  <si>
    <t>Капитализация процентов (март)</t>
  </si>
  <si>
    <t>№88/18 от 16.01.2018</t>
  </si>
  <si>
    <t xml:space="preserve">ООО  Торговый дом  "ПРОТЭК Стройкомплект" </t>
  </si>
  <si>
    <t>Давальческий материал (март)</t>
  </si>
  <si>
    <t>БМА Руссланд ООО</t>
  </si>
  <si>
    <t>Капитализация процентов март</t>
  </si>
  <si>
    <t>№1687 от 16.03.2018</t>
  </si>
  <si>
    <t>№1688 от 16.03.2018</t>
  </si>
  <si>
    <t>№741/17 от 17.11.2017</t>
  </si>
  <si>
    <t>№1689 от 16.03.2018</t>
  </si>
  <si>
    <t>№1974 от 16.03.2018</t>
  </si>
  <si>
    <t>№2852 от 30.03.2018</t>
  </si>
  <si>
    <t>№21 от 09.01.2018</t>
  </si>
  <si>
    <t>Отчет агента за январь 2018</t>
  </si>
  <si>
    <t>106 от 12.01.2018</t>
  </si>
  <si>
    <t>232 от 19.01.2018</t>
  </si>
  <si>
    <t>369 от 25.01.2018</t>
  </si>
  <si>
    <t xml:space="preserve">386 от 26.01.2018 </t>
  </si>
  <si>
    <t>387 от 26.01.2018</t>
  </si>
  <si>
    <t xml:space="preserve">388 от 26.01.2018 </t>
  </si>
  <si>
    <t>390 от 26.01.2018</t>
  </si>
  <si>
    <t xml:space="preserve">389 от 26.01.2018 </t>
  </si>
  <si>
    <t>391 от 26.01.2018</t>
  </si>
  <si>
    <t>392 от 26.01.2018</t>
  </si>
  <si>
    <t>393 от 26.01.2018</t>
  </si>
  <si>
    <t>394 от 26.01.2018</t>
  </si>
  <si>
    <t>395 от 26.01.2018</t>
  </si>
  <si>
    <t>397 от 26.01.2018</t>
  </si>
  <si>
    <t>398 от 26.01.2018</t>
  </si>
  <si>
    <t>399 от 26.01.2018</t>
  </si>
  <si>
    <t>400 от 26.01.2018</t>
  </si>
  <si>
    <t>401 от 26.01.2018</t>
  </si>
  <si>
    <t xml:space="preserve">402 от 26.01.2018 </t>
  </si>
  <si>
    <t xml:space="preserve">403 от 26.01.2018 </t>
  </si>
  <si>
    <t>404 от 26.01.2018</t>
  </si>
  <si>
    <t>406 от 26.01.2018</t>
  </si>
  <si>
    <t xml:space="preserve">410 от 26.01.2018 </t>
  </si>
  <si>
    <t>457 от 29.01.2018</t>
  </si>
  <si>
    <t>433 от 29.01.2018</t>
  </si>
  <si>
    <t xml:space="preserve">446 от 29.01.2018 </t>
  </si>
  <si>
    <t>445 от 29.01.2018</t>
  </si>
  <si>
    <t>январь</t>
  </si>
  <si>
    <t>8 тд</t>
  </si>
  <si>
    <t xml:space="preserve">502 от 31.01.2018 </t>
  </si>
  <si>
    <t>550 от 05.02.2018</t>
  </si>
  <si>
    <t xml:space="preserve">561 от 05.02.2018 </t>
  </si>
  <si>
    <t>562 от 05.02.2018</t>
  </si>
  <si>
    <t>753 от 13.02.2018</t>
  </si>
  <si>
    <t>755 от 13.02.2018</t>
  </si>
  <si>
    <t>756 от 13.02.2018</t>
  </si>
  <si>
    <t>767 от 14.02.2018</t>
  </si>
  <si>
    <t>768 от 14.02.2018</t>
  </si>
  <si>
    <t xml:space="preserve">1170 от 20.02.2018 </t>
  </si>
  <si>
    <t xml:space="preserve">1171 от 20.02.2018 </t>
  </si>
  <si>
    <t>1207 от 21.02.2018</t>
  </si>
  <si>
    <t>1283 от 26.02.2018</t>
  </si>
  <si>
    <t>1300 от 27.02.2018</t>
  </si>
  <si>
    <t xml:space="preserve">1301 от 27.02.2018 </t>
  </si>
  <si>
    <t xml:space="preserve">1302 от 27.02.2018 </t>
  </si>
  <si>
    <t>1303 от 27.02.2018</t>
  </si>
  <si>
    <t>1304 от 27.02.2018</t>
  </si>
  <si>
    <t xml:space="preserve">1305 от 27.02.2018 </t>
  </si>
  <si>
    <t>1306 от 27.02.2018</t>
  </si>
  <si>
    <t xml:space="preserve">1307 от 27.02.2018 </t>
  </si>
  <si>
    <t xml:space="preserve">1308 от 27.02.2018 </t>
  </si>
  <si>
    <t xml:space="preserve">1309 от 27.02.2018 </t>
  </si>
  <si>
    <t>1342 от 28.02.2018</t>
  </si>
  <si>
    <t>1449 от 06.03.2018</t>
  </si>
  <si>
    <t>1450 от 06.03.2018</t>
  </si>
  <si>
    <t>2045 от 20.03.2018 (часть)</t>
  </si>
  <si>
    <t xml:space="preserve">81 от 26.01.2018 </t>
  </si>
  <si>
    <t>2033 от 20.03.2018 (часть)</t>
  </si>
  <si>
    <t>КС-2, КС-3 №3 от 19.01.2018</t>
  </si>
  <si>
    <t>КС-2, КС-3 №3 от 25.01.2018</t>
  </si>
  <si>
    <t>КС-2, КС-3 №6 от 22.01.2018</t>
  </si>
  <si>
    <t>КС-3 №2 от 31.01.2018, КС-2 №14 от 31.01.2018</t>
  </si>
  <si>
    <t>КС-3, КС-2 №13 от 31.01.2018</t>
  </si>
  <si>
    <t>КС-2, КС-3 №4 от 31.01.2018</t>
  </si>
  <si>
    <t>Акт №1 от 08.02.2018</t>
  </si>
  <si>
    <t>Акт №3 от 28.02.2018</t>
  </si>
  <si>
    <t>Акт №2 от 29.01.2018</t>
  </si>
  <si>
    <t>Акт №4 от 26.03.2018</t>
  </si>
  <si>
    <t>Акт №0000-003539 от 28.02.2018</t>
  </si>
  <si>
    <t>КС-3, КС-2 №14 от 28.02.2018</t>
  </si>
  <si>
    <t>КС-3 №3 от 28.02.2018, КС-2 №27 от 28.02.2018</t>
  </si>
  <si>
    <t>Отчет агента за февраль 2018</t>
  </si>
  <si>
    <t>КС-2, КС-3 №1 от 30.03.2018</t>
  </si>
  <si>
    <t>КС-3 ;4 от 30.03.2018, КС-2 №28 от 26.03.2018</t>
  </si>
  <si>
    <t>КС-3, КС-2 №15 от 30.03.2018</t>
  </si>
  <si>
    <t>КС-2, КС-3 №3 от 30.03.2018</t>
  </si>
  <si>
    <t>КС-2, КС-3 №2 от 30.03.2018</t>
  </si>
  <si>
    <t>Отчет агента  за март 2018</t>
  </si>
  <si>
    <t>Акт №30 от 31.01.2018</t>
  </si>
  <si>
    <t>Акт №104 от 31.03.2018</t>
  </si>
  <si>
    <t>Акт №68 от 28.0.2018</t>
  </si>
  <si>
    <t>835/17от 12.12.2017 (поставка аэраторов)</t>
  </si>
  <si>
    <t>870/17 от 25.12.2017 (СМР)</t>
  </si>
  <si>
    <t>№834/17от 12.12.2017 (поставка аэраторов)</t>
  </si>
  <si>
    <t>№871/17 от 25.12.2017 (СМР)</t>
  </si>
  <si>
    <t xml:space="preserve">Налог на прибыль </t>
  </si>
  <si>
    <t>Отчет по давальческому материалу от 30.03.2018</t>
  </si>
  <si>
    <t>Отчет по давальческому материалу от 31.01.2018</t>
  </si>
  <si>
    <t>Товарная накладная №43 от 18.01.2018</t>
  </si>
  <si>
    <t>Товарная накладная №84 от 15.02.2018</t>
  </si>
  <si>
    <t>Товарная накладная №54 от 24.01.2018</t>
  </si>
  <si>
    <t>Товарная накладная №79 от 06.02.2018</t>
  </si>
  <si>
    <t>Акт №19 от 31.01.2018</t>
  </si>
  <si>
    <t>Акт №28 от 31.01.2018</t>
  </si>
  <si>
    <t>Товарная накладная №180 от 06.03.2018</t>
  </si>
  <si>
    <t>Товарная накладная №181 от 26.03.2018</t>
  </si>
  <si>
    <t>Товарная накладная №201 от 30.03.2018</t>
  </si>
  <si>
    <t>Товарная накладная №11 от 20.02.2018</t>
  </si>
  <si>
    <t>Товарная накладная №10 от 20.02.2018</t>
  </si>
  <si>
    <t>УПД № 34-004 от 03.02.2018</t>
  </si>
  <si>
    <t>УПД № 31 от 28.02.2018</t>
  </si>
  <si>
    <t>УПД № 22 от 20.02.2018</t>
  </si>
  <si>
    <t>УПД № 57-009 от 26.02.2018</t>
  </si>
  <si>
    <t>УПД № 52-053 от 21.02.2018</t>
  </si>
  <si>
    <t>УПД № 51-012  от 20.02.2018</t>
  </si>
  <si>
    <t>УПД №44-009  от 13.02.2018</t>
  </si>
  <si>
    <t>УПД №34-005  от 03.02.2018</t>
  </si>
  <si>
    <t xml:space="preserve">№409 от 26.01.2018 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</si>
  <si>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                         на 2012 – 2018 годы (в рамках реализации Концессионного соглашения от 23.03.2012 г)» ООО "РВК-Воронеж"</t>
  </si>
  <si>
    <t>Отчеты от 19.01.2018, 31.01.2018</t>
  </si>
  <si>
    <t>Отчет по дав.материалу от 30.03.2018</t>
  </si>
  <si>
    <t>1 квартал 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</si>
</sst>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7" fillId="0" borderId="0"/>
    <xf numFmtId="0" fontId="15" fillId="0" borderId="0"/>
    <xf numFmtId="0" fontId="5" fillId="0" borderId="0"/>
    <xf numFmtId="0" fontId="22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</cellStyleXfs>
  <cellXfs count="186">
    <xf numFmtId="0" fontId="0" fillId="0" borderId="0" xfId="0"/>
    <xf numFmtId="0" fontId="8" fillId="0" borderId="0" xfId="1" applyFont="1" applyFill="1"/>
    <xf numFmtId="0" fontId="9" fillId="0" borderId="0" xfId="1" applyFont="1" applyFill="1" applyBorder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6" fillId="0" borderId="0" xfId="1"/>
    <xf numFmtId="0" fontId="8" fillId="0" borderId="0" xfId="1" applyFont="1"/>
    <xf numFmtId="164" fontId="10" fillId="0" borderId="0" xfId="2" applyNumberFormat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/>
    <xf numFmtId="4" fontId="8" fillId="0" borderId="0" xfId="1" applyNumberFormat="1" applyFont="1" applyFill="1"/>
    <xf numFmtId="164" fontId="17" fillId="0" borderId="13" xfId="1" applyNumberFormat="1" applyFont="1" applyFill="1" applyBorder="1" applyAlignment="1">
      <alignment horizontal="center" vertical="center" wrapText="1"/>
    </xf>
    <xf numFmtId="4" fontId="17" fillId="0" borderId="14" xfId="1" applyNumberFormat="1" applyFont="1" applyFill="1" applyBorder="1" applyAlignment="1">
      <alignment horizontal="center" vertical="center" wrapText="1"/>
    </xf>
    <xf numFmtId="4" fontId="17" fillId="0" borderId="23" xfId="1" applyNumberFormat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4" fontId="18" fillId="0" borderId="23" xfId="1" applyNumberFormat="1" applyFont="1" applyFill="1" applyBorder="1" applyAlignment="1">
      <alignment horizontal="center" vertical="center" wrapText="1"/>
    </xf>
    <xf numFmtId="4" fontId="18" fillId="0" borderId="24" xfId="1" applyNumberFormat="1" applyFont="1" applyFill="1" applyBorder="1" applyAlignment="1">
      <alignment horizontal="center" vertical="center" wrapText="1"/>
    </xf>
    <xf numFmtId="2" fontId="17" fillId="0" borderId="13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center" vertical="center" wrapText="1"/>
    </xf>
    <xf numFmtId="164" fontId="17" fillId="0" borderId="0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1" applyFont="1"/>
    <xf numFmtId="0" fontId="17" fillId="0" borderId="0" xfId="1" applyFont="1" applyFill="1" applyAlignment="1">
      <alignment horizontal="left"/>
    </xf>
    <xf numFmtId="0" fontId="17" fillId="0" borderId="0" xfId="1" applyFont="1" applyFill="1" applyBorder="1"/>
    <xf numFmtId="0" fontId="17" fillId="0" borderId="0" xfId="1" applyFont="1" applyFill="1"/>
    <xf numFmtId="164" fontId="16" fillId="0" borderId="0" xfId="1" applyNumberFormat="1" applyFont="1" applyFill="1"/>
    <xf numFmtId="164" fontId="17" fillId="0" borderId="15" xfId="1" applyNumberFormat="1" applyFont="1" applyFill="1" applyBorder="1" applyAlignment="1">
      <alignment horizontal="center" vertical="center" wrapText="1"/>
    </xf>
    <xf numFmtId="43" fontId="8" fillId="0" borderId="0" xfId="1" applyNumberFormat="1" applyFont="1"/>
    <xf numFmtId="4" fontId="18" fillId="0" borderId="0" xfId="1" applyNumberFormat="1" applyFont="1" applyFill="1" applyBorder="1" applyAlignment="1">
      <alignment horizontal="center" vertical="center" wrapText="1"/>
    </xf>
    <xf numFmtId="164" fontId="17" fillId="0" borderId="21" xfId="1" applyNumberFormat="1" applyFont="1" applyFill="1" applyBorder="1" applyAlignment="1">
      <alignment horizontal="center" vertical="center" wrapText="1"/>
    </xf>
    <xf numFmtId="4" fontId="17" fillId="0" borderId="20" xfId="1" applyNumberFormat="1" applyFont="1" applyFill="1" applyBorder="1" applyAlignment="1">
      <alignment horizontal="center" vertical="center" wrapText="1"/>
    </xf>
    <xf numFmtId="4" fontId="6" fillId="0" borderId="0" xfId="1" applyNumberFormat="1"/>
    <xf numFmtId="2" fontId="8" fillId="0" borderId="0" xfId="1" applyNumberFormat="1" applyFont="1"/>
    <xf numFmtId="0" fontId="8" fillId="0" borderId="37" xfId="1" applyFont="1" applyBorder="1"/>
    <xf numFmtId="0" fontId="8" fillId="0" borderId="39" xfId="1" applyFont="1" applyBorder="1"/>
    <xf numFmtId="0" fontId="18" fillId="0" borderId="22" xfId="1" applyFont="1" applyFill="1" applyBorder="1" applyAlignment="1">
      <alignment horizontal="center" vertical="center"/>
    </xf>
    <xf numFmtId="0" fontId="6" fillId="0" borderId="0" xfId="1" applyBorder="1"/>
    <xf numFmtId="164" fontId="17" fillId="0" borderId="8" xfId="1" applyNumberFormat="1" applyFont="1" applyFill="1" applyBorder="1" applyAlignment="1">
      <alignment horizontal="center" vertical="center" wrapText="1"/>
    </xf>
    <xf numFmtId="0" fontId="8" fillId="3" borderId="0" xfId="1" applyFont="1" applyFill="1"/>
    <xf numFmtId="0" fontId="1" fillId="0" borderId="0" xfId="1" applyFont="1"/>
    <xf numFmtId="4" fontId="8" fillId="0" borderId="0" xfId="1" applyNumberFormat="1" applyFont="1"/>
    <xf numFmtId="164" fontId="8" fillId="0" borderId="0" xfId="1" applyNumberFormat="1" applyFont="1"/>
    <xf numFmtId="0" fontId="17" fillId="2" borderId="8" xfId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4" fontId="17" fillId="0" borderId="18" xfId="1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vertical="center" wrapText="1"/>
    </xf>
    <xf numFmtId="4" fontId="17" fillId="0" borderId="25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21" fillId="0" borderId="27" xfId="0" applyFont="1" applyFill="1" applyBorder="1" applyAlignment="1">
      <alignment vertical="center" wrapText="1"/>
    </xf>
    <xf numFmtId="4" fontId="21" fillId="0" borderId="25" xfId="0" applyNumberFormat="1" applyFont="1" applyFill="1" applyBorder="1" applyAlignment="1">
      <alignment horizontal="right" vertical="center" wrapText="1"/>
    </xf>
    <xf numFmtId="4" fontId="17" fillId="0" borderId="26" xfId="0" applyNumberFormat="1" applyFont="1" applyFill="1" applyBorder="1" applyAlignment="1">
      <alignment horizontal="right"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43" fontId="18" fillId="0" borderId="25" xfId="14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4" fontId="17" fillId="2" borderId="19" xfId="1" applyNumberFormat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4" fontId="17" fillId="0" borderId="19" xfId="1" applyNumberFormat="1" applyFont="1" applyFill="1" applyBorder="1" applyAlignment="1">
      <alignment horizontal="center" vertical="center" wrapText="1"/>
    </xf>
    <xf numFmtId="4" fontId="17" fillId="0" borderId="21" xfId="1" applyNumberFormat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4" fontId="17" fillId="0" borderId="13" xfId="1" applyNumberFormat="1" applyFont="1" applyFill="1" applyBorder="1" applyAlignment="1">
      <alignment horizontal="center" vertical="center" wrapText="1"/>
    </xf>
    <xf numFmtId="4" fontId="17" fillId="0" borderId="15" xfId="1" applyNumberFormat="1" applyFont="1" applyFill="1" applyBorder="1" applyAlignment="1">
      <alignment horizontal="center" vertical="center" wrapText="1"/>
    </xf>
    <xf numFmtId="4" fontId="17" fillId="0" borderId="4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4" fontId="17" fillId="0" borderId="31" xfId="1" applyNumberFormat="1" applyFont="1" applyFill="1" applyBorder="1" applyAlignment="1">
      <alignment horizontal="center" vertical="center" wrapText="1"/>
    </xf>
    <xf numFmtId="4" fontId="17" fillId="0" borderId="7" xfId="1" applyNumberFormat="1" applyFont="1" applyFill="1" applyBorder="1" applyAlignment="1">
      <alignment horizontal="center" vertical="center" wrapText="1"/>
    </xf>
    <xf numFmtId="164" fontId="17" fillId="0" borderId="7" xfId="1" applyNumberFormat="1" applyFont="1" applyFill="1" applyBorder="1" applyAlignment="1">
      <alignment horizontal="center" vertical="center" wrapText="1"/>
    </xf>
    <xf numFmtId="164" fontId="17" fillId="0" borderId="18" xfId="1" applyNumberFormat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4" fontId="17" fillId="0" borderId="10" xfId="1" applyNumberFormat="1" applyFont="1" applyFill="1" applyBorder="1" applyAlignment="1">
      <alignment horizontal="center" vertical="center" wrapText="1"/>
    </xf>
    <xf numFmtId="4" fontId="17" fillId="0" borderId="8" xfId="1" applyNumberFormat="1" applyFont="1" applyFill="1" applyBorder="1" applyAlignment="1">
      <alignment horizontal="center" vertical="center" wrapText="1"/>
    </xf>
    <xf numFmtId="0" fontId="17" fillId="0" borderId="13" xfId="3" applyNumberFormat="1" applyFont="1" applyFill="1" applyBorder="1" applyAlignment="1">
      <alignment horizontal="center" vertical="center" wrapText="1"/>
    </xf>
    <xf numFmtId="2" fontId="17" fillId="0" borderId="18" xfId="1" applyNumberFormat="1" applyFont="1" applyFill="1" applyBorder="1" applyAlignment="1">
      <alignment horizontal="center" vertical="center" wrapText="1"/>
    </xf>
    <xf numFmtId="0" fontId="17" fillId="0" borderId="18" xfId="3" applyNumberFormat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4" fontId="17" fillId="0" borderId="38" xfId="1" applyNumberFormat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164" fontId="17" fillId="0" borderId="38" xfId="1" applyNumberFormat="1" applyFont="1" applyFill="1" applyBorder="1" applyAlignment="1">
      <alignment horizontal="center" vertical="center" wrapText="1"/>
    </xf>
    <xf numFmtId="165" fontId="17" fillId="0" borderId="18" xfId="1" applyNumberFormat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164" fontId="17" fillId="0" borderId="23" xfId="1" applyNumberFormat="1" applyFont="1" applyFill="1" applyBorder="1" applyAlignment="1">
      <alignment horizontal="center" vertical="center" wrapText="1"/>
    </xf>
    <xf numFmtId="4" fontId="17" fillId="0" borderId="24" xfId="1" applyNumberFormat="1" applyFont="1" applyFill="1" applyBorder="1" applyAlignment="1">
      <alignment horizontal="center" vertical="center" wrapText="1"/>
    </xf>
    <xf numFmtId="0" fontId="17" fillId="0" borderId="6" xfId="3" applyNumberFormat="1" applyFont="1" applyFill="1" applyBorder="1" applyAlignment="1">
      <alignment horizontal="center" vertical="center" wrapText="1"/>
    </xf>
    <xf numFmtId="0" fontId="17" fillId="0" borderId="8" xfId="3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vertical="center" wrapText="1"/>
    </xf>
    <xf numFmtId="4" fontId="18" fillId="0" borderId="8" xfId="1" applyNumberFormat="1" applyFont="1" applyFill="1" applyBorder="1" applyAlignment="1">
      <alignment horizontal="center" vertical="center" wrapText="1"/>
    </xf>
    <xf numFmtId="4" fontId="18" fillId="0" borderId="38" xfId="1" applyNumberFormat="1" applyFont="1" applyFill="1" applyBorder="1" applyAlignment="1">
      <alignment horizontal="center" vertical="center" wrapText="1"/>
    </xf>
    <xf numFmtId="2" fontId="17" fillId="0" borderId="7" xfId="1" applyNumberFormat="1" applyFont="1" applyFill="1" applyBorder="1" applyAlignment="1">
      <alignment horizontal="center" vertical="center" wrapText="1"/>
    </xf>
    <xf numFmtId="2" fontId="17" fillId="0" borderId="4" xfId="1" applyNumberFormat="1" applyFont="1" applyFill="1" applyBorder="1" applyAlignment="1">
      <alignment horizontal="center" vertical="center" wrapText="1"/>
    </xf>
    <xf numFmtId="4" fontId="17" fillId="0" borderId="47" xfId="1" applyNumberFormat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4" fontId="17" fillId="0" borderId="15" xfId="1" applyNumberFormat="1" applyFont="1" applyFill="1" applyBorder="1" applyAlignment="1">
      <alignment horizontal="center" vertical="center" wrapText="1"/>
    </xf>
    <xf numFmtId="0" fontId="17" fillId="0" borderId="1" xfId="3" applyNumberFormat="1" applyFont="1" applyFill="1" applyBorder="1" applyAlignment="1">
      <alignment horizontal="center" vertical="center" wrapText="1"/>
    </xf>
    <xf numFmtId="0" fontId="17" fillId="0" borderId="17" xfId="3" applyNumberFormat="1" applyFont="1" applyFill="1" applyBorder="1" applyAlignment="1">
      <alignment horizontal="center" vertical="center" wrapText="1"/>
    </xf>
    <xf numFmtId="0" fontId="17" fillId="0" borderId="6" xfId="3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right" vertical="center" wrapText="1"/>
    </xf>
    <xf numFmtId="4" fontId="17" fillId="0" borderId="11" xfId="0" applyNumberFormat="1" applyFont="1" applyFill="1" applyBorder="1" applyAlignment="1">
      <alignment horizontal="right" vertical="center" wrapText="1"/>
    </xf>
    <xf numFmtId="4" fontId="17" fillId="0" borderId="12" xfId="0" applyNumberFormat="1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4" fontId="21" fillId="0" borderId="12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 wrapText="1"/>
    </xf>
    <xf numFmtId="0" fontId="19" fillId="0" borderId="28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43" fontId="18" fillId="0" borderId="11" xfId="14" applyFont="1" applyFill="1" applyBorder="1" applyAlignment="1">
      <alignment horizontal="center" vertical="center" wrapText="1"/>
    </xf>
    <xf numFmtId="43" fontId="18" fillId="0" borderId="12" xfId="14" applyFont="1" applyFill="1" applyBorder="1" applyAlignment="1">
      <alignment horizontal="center" vertical="center" wrapText="1"/>
    </xf>
    <xf numFmtId="0" fontId="17" fillId="0" borderId="19" xfId="3" applyNumberFormat="1" applyFont="1" applyFill="1" applyBorder="1" applyAlignment="1">
      <alignment horizontal="center" vertical="center" wrapText="1"/>
    </xf>
    <xf numFmtId="0" fontId="17" fillId="0" borderId="21" xfId="3" applyNumberFormat="1" applyFont="1" applyFill="1" applyBorder="1" applyAlignment="1">
      <alignment horizontal="center" vertical="center" wrapText="1"/>
    </xf>
    <xf numFmtId="4" fontId="17" fillId="0" borderId="19" xfId="1" applyNumberFormat="1" applyFont="1" applyFill="1" applyBorder="1" applyAlignment="1">
      <alignment horizontal="center" vertical="center" wrapText="1"/>
    </xf>
    <xf numFmtId="4" fontId="17" fillId="0" borderId="21" xfId="1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/>
    <xf numFmtId="0" fontId="19" fillId="0" borderId="0" xfId="0" applyFont="1" applyFill="1"/>
    <xf numFmtId="0" fontId="17" fillId="0" borderId="18" xfId="1" applyFont="1" applyFill="1" applyBorder="1" applyAlignment="1">
      <alignment horizontal="center" vertical="center" wrapText="1"/>
    </xf>
    <xf numFmtId="0" fontId="17" fillId="0" borderId="19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4" fontId="17" fillId="0" borderId="18" xfId="1" applyNumberFormat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34" xfId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164" fontId="17" fillId="0" borderId="18" xfId="1" applyNumberFormat="1" applyFont="1" applyFill="1" applyBorder="1" applyAlignment="1">
      <alignment horizontal="center" vertical="center" wrapText="1"/>
    </xf>
    <xf numFmtId="164" fontId="17" fillId="0" borderId="21" xfId="1" applyNumberFormat="1" applyFont="1" applyFill="1" applyBorder="1" applyAlignment="1">
      <alignment horizontal="center" vertical="center" wrapText="1"/>
    </xf>
    <xf numFmtId="164" fontId="17" fillId="0" borderId="19" xfId="1" applyNumberFormat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7" fillId="0" borderId="35" xfId="1" applyFont="1" applyFill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4" fontId="17" fillId="0" borderId="8" xfId="1" applyNumberFormat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4" fontId="17" fillId="0" borderId="13" xfId="1" applyNumberFormat="1" applyFont="1" applyFill="1" applyBorder="1" applyAlignment="1">
      <alignment horizontal="center" vertical="center" wrapText="1"/>
    </xf>
    <xf numFmtId="2" fontId="17" fillId="0" borderId="18" xfId="1" applyNumberFormat="1" applyFont="1" applyFill="1" applyBorder="1" applyAlignment="1">
      <alignment horizontal="center" vertical="center" wrapText="1"/>
    </xf>
    <xf numFmtId="2" fontId="17" fillId="0" borderId="21" xfId="1" applyNumberFormat="1" applyFont="1" applyFill="1" applyBorder="1" applyAlignment="1">
      <alignment horizontal="center" vertical="center" wrapText="1"/>
    </xf>
    <xf numFmtId="0" fontId="17" fillId="0" borderId="42" xfId="3" applyNumberFormat="1" applyFont="1" applyFill="1" applyBorder="1" applyAlignment="1">
      <alignment horizontal="center" vertical="center" wrapText="1"/>
    </xf>
    <xf numFmtId="0" fontId="17" fillId="0" borderId="44" xfId="3" applyNumberFormat="1" applyFont="1" applyFill="1" applyBorder="1" applyAlignment="1">
      <alignment horizontal="center" vertical="center" wrapText="1"/>
    </xf>
    <xf numFmtId="2" fontId="17" fillId="0" borderId="19" xfId="1" applyNumberFormat="1" applyFont="1" applyFill="1" applyBorder="1" applyAlignment="1">
      <alignment horizontal="center" vertical="center" wrapText="1"/>
    </xf>
    <xf numFmtId="0" fontId="17" fillId="0" borderId="18" xfId="3" applyNumberFormat="1" applyFont="1" applyFill="1" applyBorder="1" applyAlignment="1">
      <alignment horizontal="center" vertical="center" wrapText="1"/>
    </xf>
    <xf numFmtId="4" fontId="17" fillId="0" borderId="7" xfId="1" applyNumberFormat="1" applyFont="1" applyFill="1" applyBorder="1" applyAlignment="1">
      <alignment horizontal="center" vertical="center" wrapText="1"/>
    </xf>
    <xf numFmtId="0" fontId="17" fillId="0" borderId="4" xfId="3" applyNumberFormat="1" applyFont="1" applyFill="1" applyBorder="1" applyAlignment="1">
      <alignment horizontal="center" vertical="center" wrapText="1"/>
    </xf>
    <xf numFmtId="0" fontId="17" fillId="0" borderId="43" xfId="3" applyNumberFormat="1" applyFont="1" applyFill="1" applyBorder="1" applyAlignment="1">
      <alignment horizontal="center" vertical="center" wrapText="1"/>
    </xf>
    <xf numFmtId="0" fontId="17" fillId="0" borderId="13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2" fontId="17" fillId="0" borderId="4" xfId="1" applyNumberFormat="1" applyFont="1" applyFill="1" applyBorder="1" applyAlignment="1">
      <alignment horizontal="center" vertical="center" wrapText="1"/>
    </xf>
    <xf numFmtId="164" fontId="17" fillId="0" borderId="15" xfId="1" applyNumberFormat="1" applyFont="1" applyFill="1" applyBorder="1" applyAlignment="1">
      <alignment horizontal="center" vertical="center" wrapText="1"/>
    </xf>
    <xf numFmtId="164" fontId="17" fillId="0" borderId="7" xfId="1" applyNumberFormat="1" applyFont="1" applyFill="1" applyBorder="1" applyAlignment="1">
      <alignment horizontal="center" vertical="center" wrapText="1"/>
    </xf>
    <xf numFmtId="0" fontId="17" fillId="0" borderId="45" xfId="1" applyFont="1" applyFill="1" applyBorder="1" applyAlignment="1">
      <alignment horizontal="center" vertical="center" wrapText="1"/>
    </xf>
    <xf numFmtId="0" fontId="17" fillId="0" borderId="43" xfId="1" applyFont="1" applyFill="1" applyBorder="1" applyAlignment="1">
      <alignment horizontal="center" vertical="center" wrapText="1"/>
    </xf>
    <xf numFmtId="0" fontId="17" fillId="0" borderId="46" xfId="1" applyFont="1" applyFill="1" applyBorder="1" applyAlignment="1">
      <alignment horizontal="center" vertical="center" wrapText="1"/>
    </xf>
    <xf numFmtId="0" fontId="10" fillId="0" borderId="29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7" fillId="0" borderId="42" xfId="1" applyFont="1" applyFill="1" applyBorder="1" applyAlignment="1">
      <alignment horizontal="center" vertical="center" wrapText="1"/>
    </xf>
    <xf numFmtId="0" fontId="17" fillId="0" borderId="44" xfId="1" applyFont="1" applyFill="1" applyBorder="1" applyAlignment="1">
      <alignment horizontal="center" vertical="center" wrapText="1"/>
    </xf>
    <xf numFmtId="4" fontId="17" fillId="0" borderId="14" xfId="1" applyNumberFormat="1" applyFont="1" applyFill="1" applyBorder="1" applyAlignment="1">
      <alignment horizontal="center" vertical="center" wrapText="1"/>
    </xf>
    <xf numFmtId="4" fontId="17" fillId="0" borderId="16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2" applyFont="1" applyFill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100 2" xfId="10"/>
    <cellStyle name="Обычный 2" xfId="1"/>
    <cellStyle name="Обычный 2 10" xfId="4"/>
    <cellStyle name="Обычный 2 2" xfId="2"/>
    <cellStyle name="Обычный 2 6 3" xfId="9"/>
    <cellStyle name="Обычный 29" xfId="5"/>
    <cellStyle name="Обычный 3" xfId="6"/>
    <cellStyle name="Обычный 4" xfId="7"/>
    <cellStyle name="Обычный 5" xfId="8"/>
    <cellStyle name="Обычный 6" xfId="11"/>
    <cellStyle name="Обычный 7" xfId="13"/>
    <cellStyle name="Обычный_Бизнес-план 2005 г. (РВК)1 экспериментальн 2 со 2 квартала_1" xfId="3"/>
    <cellStyle name="Финансовый" xfId="14" builtinId="3"/>
    <cellStyle name="Финансовый 2" xfId="12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C000"/>
  </sheetPr>
  <dimension ref="A1:M185"/>
  <sheetViews>
    <sheetView tabSelected="1" view="pageBreakPreview" zoomScale="83" zoomScaleNormal="85" zoomScaleSheetLayoutView="83" zoomScalePageLayoutView="40" workbookViewId="0">
      <selection activeCell="C7" sqref="C7"/>
    </sheetView>
  </sheetViews>
  <sheetFormatPr defaultColWidth="9.140625" defaultRowHeight="15" x14ac:dyDescent="0.25"/>
  <cols>
    <col min="1" max="1" width="41.7109375" style="6" customWidth="1"/>
    <col min="2" max="2" width="26.7109375" style="1" customWidth="1"/>
    <col min="3" max="3" width="18.85546875" style="1" customWidth="1"/>
    <col min="4" max="4" width="15.7109375" style="1" customWidth="1"/>
    <col min="5" max="5" width="16.5703125" style="1" customWidth="1"/>
    <col min="6" max="6" width="18.5703125" style="1" customWidth="1"/>
    <col min="7" max="7" width="14.42578125" style="1" customWidth="1"/>
    <col min="8" max="8" width="14.7109375" style="1" customWidth="1"/>
    <col min="9" max="9" width="19.7109375" style="1" customWidth="1"/>
    <col min="10" max="10" width="13.28515625" style="12" customWidth="1"/>
    <col min="11" max="11" width="18.5703125" style="5" hidden="1" customWidth="1"/>
    <col min="12" max="12" width="14.28515625" style="5" hidden="1" customWidth="1"/>
    <col min="13" max="16384" width="9.140625" style="5"/>
  </cols>
  <sheetData>
    <row r="1" spans="1:13" x14ac:dyDescent="0.25">
      <c r="A1" s="1"/>
      <c r="F1" s="2"/>
      <c r="G1" s="3"/>
      <c r="H1" s="4"/>
      <c r="I1" s="3"/>
      <c r="J1" s="3"/>
    </row>
    <row r="2" spans="1:13" ht="15.75" x14ac:dyDescent="0.25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3" ht="38.25" customHeight="1" x14ac:dyDescent="0.25">
      <c r="A3" s="172" t="s">
        <v>258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3" ht="15.75" x14ac:dyDescent="0.25">
      <c r="A4" s="173" t="s">
        <v>261</v>
      </c>
      <c r="B4" s="173"/>
      <c r="C4" s="173"/>
      <c r="D4" s="173"/>
      <c r="E4" s="173"/>
      <c r="F4" s="173"/>
      <c r="G4" s="173"/>
      <c r="H4" s="173"/>
      <c r="I4" s="173"/>
      <c r="J4" s="173"/>
      <c r="K4" s="36">
        <f>K6-K8</f>
        <v>-252211.77627804547</v>
      </c>
    </row>
    <row r="5" spans="1:13" ht="16.5" thickBot="1" x14ac:dyDescent="0.3">
      <c r="A5" s="48"/>
      <c r="B5" s="48"/>
      <c r="C5" s="48"/>
      <c r="D5" s="48"/>
      <c r="E5" s="48"/>
      <c r="F5" s="48"/>
      <c r="G5" s="48"/>
      <c r="H5" s="48"/>
      <c r="I5" s="48"/>
      <c r="J5" s="7"/>
      <c r="K5" s="44" t="s">
        <v>178</v>
      </c>
    </row>
    <row r="6" spans="1:13" ht="15.75" x14ac:dyDescent="0.25">
      <c r="A6" s="174" t="s">
        <v>1</v>
      </c>
      <c r="B6" s="176" t="s">
        <v>2</v>
      </c>
      <c r="C6" s="177"/>
      <c r="D6" s="178" t="s">
        <v>3</v>
      </c>
      <c r="E6" s="178" t="s">
        <v>4</v>
      </c>
      <c r="F6" s="180" t="s">
        <v>5</v>
      </c>
      <c r="G6" s="181"/>
      <c r="H6" s="182" t="s">
        <v>6</v>
      </c>
      <c r="I6" s="184" t="s">
        <v>7</v>
      </c>
      <c r="J6" s="185"/>
      <c r="K6" s="5">
        <v>120763.36421357692</v>
      </c>
    </row>
    <row r="7" spans="1:13" ht="90.75" customHeight="1" thickBot="1" x14ac:dyDescent="0.3">
      <c r="A7" s="175"/>
      <c r="B7" s="8" t="s">
        <v>8</v>
      </c>
      <c r="C7" s="8" t="s">
        <v>9</v>
      </c>
      <c r="D7" s="179"/>
      <c r="E7" s="179"/>
      <c r="F7" s="9" t="s">
        <v>10</v>
      </c>
      <c r="G7" s="10" t="s">
        <v>11</v>
      </c>
      <c r="H7" s="183"/>
      <c r="I7" s="9" t="s">
        <v>10</v>
      </c>
      <c r="J7" s="11" t="s">
        <v>11</v>
      </c>
      <c r="K7" s="44" t="s">
        <v>177</v>
      </c>
    </row>
    <row r="8" spans="1:13" ht="16.5" thickBot="1" x14ac:dyDescent="0.3">
      <c r="A8" s="164" t="s">
        <v>12</v>
      </c>
      <c r="B8" s="165"/>
      <c r="C8" s="165"/>
      <c r="D8" s="165"/>
      <c r="E8" s="165"/>
      <c r="F8" s="165"/>
      <c r="G8" s="165"/>
      <c r="H8" s="165"/>
      <c r="I8" s="165"/>
      <c r="J8" s="166"/>
      <c r="K8" s="36">
        <f>SUM(K9:K152)</f>
        <v>372975.14049162238</v>
      </c>
    </row>
    <row r="9" spans="1:13" x14ac:dyDescent="0.25">
      <c r="A9" s="167" t="s">
        <v>53</v>
      </c>
      <c r="B9" s="156" t="s">
        <v>70</v>
      </c>
      <c r="C9" s="156" t="s">
        <v>66</v>
      </c>
      <c r="D9" s="146">
        <v>1200.3724</v>
      </c>
      <c r="E9" s="146">
        <f>G9</f>
        <v>1200.3724</v>
      </c>
      <c r="F9" s="156" t="s">
        <v>148</v>
      </c>
      <c r="G9" s="146">
        <v>1200.3724</v>
      </c>
      <c r="H9" s="146"/>
      <c r="I9" s="156"/>
      <c r="J9" s="169"/>
      <c r="K9" s="36">
        <f>E9</f>
        <v>1200.3724</v>
      </c>
    </row>
    <row r="10" spans="1:13" x14ac:dyDescent="0.25">
      <c r="A10" s="162"/>
      <c r="B10" s="105"/>
      <c r="C10" s="105"/>
      <c r="D10" s="106"/>
      <c r="E10" s="106"/>
      <c r="F10" s="105"/>
      <c r="G10" s="106"/>
      <c r="H10" s="105"/>
      <c r="I10" s="105"/>
      <c r="J10" s="170"/>
    </row>
    <row r="11" spans="1:13" ht="28.5" x14ac:dyDescent="0.25">
      <c r="A11" s="162"/>
      <c r="B11" s="68" t="s">
        <v>71</v>
      </c>
      <c r="C11" s="68" t="s">
        <v>67</v>
      </c>
      <c r="D11" s="74">
        <v>2073.1010799999999</v>
      </c>
      <c r="E11" s="74">
        <f>G11</f>
        <v>834.95970999999997</v>
      </c>
      <c r="F11" s="68" t="s">
        <v>257</v>
      </c>
      <c r="G11" s="74">
        <v>834.95970999999997</v>
      </c>
      <c r="H11" s="68"/>
      <c r="I11" s="68"/>
      <c r="J11" s="76"/>
      <c r="K11" s="36">
        <f>E11</f>
        <v>834.95970999999997</v>
      </c>
    </row>
    <row r="12" spans="1:13" ht="28.5" x14ac:dyDescent="0.25">
      <c r="A12" s="162"/>
      <c r="B12" s="105" t="s">
        <v>69</v>
      </c>
      <c r="C12" s="105" t="s">
        <v>234</v>
      </c>
      <c r="D12" s="106">
        <v>9507.6667699999998</v>
      </c>
      <c r="E12" s="106">
        <v>1356.58763</v>
      </c>
      <c r="F12" s="105" t="s">
        <v>192</v>
      </c>
      <c r="G12" s="106">
        <f>E12</f>
        <v>1356.58763</v>
      </c>
      <c r="H12" s="106">
        <f>J12+J13</f>
        <v>584.10265499999991</v>
      </c>
      <c r="I12" s="68" t="s">
        <v>226</v>
      </c>
      <c r="J12" s="76">
        <f>313591.18*1.18/1000</f>
        <v>370.03759239999994</v>
      </c>
      <c r="L12" s="36">
        <f>G12</f>
        <v>1356.58763</v>
      </c>
    </row>
    <row r="13" spans="1:13" ht="28.5" x14ac:dyDescent="0.25">
      <c r="A13" s="162"/>
      <c r="B13" s="105"/>
      <c r="C13" s="105"/>
      <c r="D13" s="106"/>
      <c r="E13" s="106"/>
      <c r="F13" s="105"/>
      <c r="G13" s="106"/>
      <c r="H13" s="105"/>
      <c r="I13" s="68" t="s">
        <v>225</v>
      </c>
      <c r="J13" s="76">
        <f>181411.07*1.18/1000</f>
        <v>214.0650626</v>
      </c>
      <c r="L13" s="36"/>
    </row>
    <row r="14" spans="1:13" ht="42.75" x14ac:dyDescent="0.25">
      <c r="A14" s="162"/>
      <c r="B14" s="105" t="s">
        <v>69</v>
      </c>
      <c r="C14" s="105" t="s">
        <v>233</v>
      </c>
      <c r="D14" s="106">
        <v>14899.80466</v>
      </c>
      <c r="E14" s="74">
        <f>G14</f>
        <v>2607.4658199999999</v>
      </c>
      <c r="F14" s="68" t="s">
        <v>134</v>
      </c>
      <c r="G14" s="74">
        <f>2607465.82/1000</f>
        <v>2607.4658199999999</v>
      </c>
      <c r="H14" s="74">
        <f t="shared" ref="H14:H19" si="0">J14</f>
        <v>3724.9511704000001</v>
      </c>
      <c r="I14" s="68" t="s">
        <v>238</v>
      </c>
      <c r="J14" s="76">
        <f>3724951.1704/1000</f>
        <v>3724.9511704000001</v>
      </c>
      <c r="K14"/>
      <c r="L14"/>
      <c r="M14"/>
    </row>
    <row r="15" spans="1:13" ht="42.75" x14ac:dyDescent="0.25">
      <c r="A15" s="162"/>
      <c r="B15" s="105"/>
      <c r="C15" s="105"/>
      <c r="D15" s="106"/>
      <c r="E15" s="74">
        <f>G15</f>
        <v>2607.4658199999999</v>
      </c>
      <c r="F15" s="68" t="s">
        <v>135</v>
      </c>
      <c r="G15" s="74">
        <f>2607465.82/1000</f>
        <v>2607.4658199999999</v>
      </c>
      <c r="H15" s="74">
        <f t="shared" si="0"/>
        <v>3724.9511704000001</v>
      </c>
      <c r="I15" s="68" t="s">
        <v>240</v>
      </c>
      <c r="J15" s="76">
        <f>3724951.1704/1000</f>
        <v>3724.9511704000001</v>
      </c>
      <c r="K15"/>
      <c r="L15"/>
      <c r="M15"/>
    </row>
    <row r="16" spans="1:13" ht="42.75" x14ac:dyDescent="0.25">
      <c r="A16" s="162"/>
      <c r="B16" s="105"/>
      <c r="C16" s="105"/>
      <c r="D16" s="106"/>
      <c r="E16" s="74"/>
      <c r="F16" s="68"/>
      <c r="G16" s="74"/>
      <c r="H16" s="74">
        <f t="shared" si="0"/>
        <v>3724.9511703999997</v>
      </c>
      <c r="I16" s="68" t="s">
        <v>239</v>
      </c>
      <c r="J16" s="76">
        <f>3156738.28*1.18/1000</f>
        <v>3724.9511703999997</v>
      </c>
      <c r="K16"/>
      <c r="L16"/>
      <c r="M16"/>
    </row>
    <row r="17" spans="1:13" ht="42.75" x14ac:dyDescent="0.25">
      <c r="A17" s="162"/>
      <c r="B17" s="105"/>
      <c r="C17" s="105"/>
      <c r="D17" s="106"/>
      <c r="E17" s="74"/>
      <c r="F17" s="68"/>
      <c r="G17" s="74"/>
      <c r="H17" s="74">
        <f>J17</f>
        <v>3724.9511585999999</v>
      </c>
      <c r="I17" s="68" t="s">
        <v>241</v>
      </c>
      <c r="J17" s="76">
        <f>3156738.27*1.18/1000</f>
        <v>3724.9511585999999</v>
      </c>
      <c r="K17"/>
      <c r="L17"/>
      <c r="M17"/>
    </row>
    <row r="18" spans="1:13" ht="42.75" x14ac:dyDescent="0.25">
      <c r="A18" s="162"/>
      <c r="B18" s="105" t="s">
        <v>50</v>
      </c>
      <c r="C18" s="105" t="s">
        <v>51</v>
      </c>
      <c r="D18" s="106"/>
      <c r="E18" s="74">
        <f>G18</f>
        <v>37.249508399999996</v>
      </c>
      <c r="F18" s="74" t="s">
        <v>205</v>
      </c>
      <c r="G18" s="74">
        <f>31567.38*1.18/1000</f>
        <v>37.249508399999996</v>
      </c>
      <c r="H18" s="74">
        <f t="shared" si="0"/>
        <v>18.624754199999998</v>
      </c>
      <c r="I18" s="68" t="s">
        <v>242</v>
      </c>
      <c r="J18" s="76">
        <f>18624.7542/1000</f>
        <v>18.624754199999998</v>
      </c>
      <c r="K18"/>
      <c r="L18"/>
      <c r="M18"/>
    </row>
    <row r="19" spans="1:13" ht="42.75" x14ac:dyDescent="0.25">
      <c r="A19" s="162"/>
      <c r="B19" s="105"/>
      <c r="C19" s="105"/>
      <c r="D19" s="106"/>
      <c r="E19" s="74">
        <f>G19</f>
        <v>15.736421</v>
      </c>
      <c r="F19" s="68" t="s">
        <v>205</v>
      </c>
      <c r="G19" s="74">
        <f>13335.95*1.18/1000</f>
        <v>15.736421</v>
      </c>
      <c r="H19" s="74">
        <f t="shared" si="0"/>
        <v>18.624754199999998</v>
      </c>
      <c r="I19" s="68" t="s">
        <v>243</v>
      </c>
      <c r="J19" s="76">
        <f>15783.69*1.18/1000</f>
        <v>18.624754199999998</v>
      </c>
    </row>
    <row r="20" spans="1:13" ht="28.5" x14ac:dyDescent="0.25">
      <c r="A20" s="162"/>
      <c r="B20" s="105"/>
      <c r="C20" s="105"/>
      <c r="D20" s="106"/>
      <c r="E20" s="74"/>
      <c r="F20" s="68"/>
      <c r="G20" s="74"/>
      <c r="H20" s="74">
        <f>J20</f>
        <v>15.736421</v>
      </c>
      <c r="I20" s="68" t="s">
        <v>149</v>
      </c>
      <c r="J20" s="76">
        <f>13335.95*1.18/1000</f>
        <v>15.736421</v>
      </c>
    </row>
    <row r="21" spans="1:13" x14ac:dyDescent="0.25">
      <c r="A21" s="162"/>
      <c r="B21" s="105"/>
      <c r="C21" s="105"/>
      <c r="D21" s="106"/>
      <c r="E21" s="74"/>
      <c r="F21" s="68"/>
      <c r="G21" s="74"/>
      <c r="H21" s="74">
        <f>J21</f>
        <v>18.624754199999998</v>
      </c>
      <c r="I21" s="105" t="s">
        <v>221</v>
      </c>
      <c r="J21" s="76">
        <f>15783.69*1.18/1000</f>
        <v>18.624754199999998</v>
      </c>
    </row>
    <row r="22" spans="1:13" x14ac:dyDescent="0.25">
      <c r="A22" s="162"/>
      <c r="B22" s="105"/>
      <c r="C22" s="105"/>
      <c r="D22" s="106"/>
      <c r="E22" s="74"/>
      <c r="F22" s="68"/>
      <c r="G22" s="74"/>
      <c r="H22" s="74">
        <f>J22</f>
        <v>18.624754199999998</v>
      </c>
      <c r="I22" s="105"/>
      <c r="J22" s="76">
        <f>15783.69*1.18/1000</f>
        <v>18.624754199999998</v>
      </c>
    </row>
    <row r="23" spans="1:13" ht="42.75" x14ac:dyDescent="0.25">
      <c r="A23" s="162"/>
      <c r="B23" s="68" t="s">
        <v>138</v>
      </c>
      <c r="C23" s="68" t="s">
        <v>137</v>
      </c>
      <c r="D23" s="74">
        <v>584.05349999999999</v>
      </c>
      <c r="E23" s="74">
        <v>156.952</v>
      </c>
      <c r="F23" s="68" t="s">
        <v>204</v>
      </c>
      <c r="G23" s="74">
        <f>E23</f>
        <v>156.952</v>
      </c>
      <c r="H23" s="74"/>
      <c r="I23" s="68"/>
      <c r="J23" s="76"/>
    </row>
    <row r="24" spans="1:13" ht="57" x14ac:dyDescent="0.25">
      <c r="A24" s="162"/>
      <c r="B24" s="105" t="s">
        <v>139</v>
      </c>
      <c r="C24" s="105"/>
      <c r="D24" s="105"/>
      <c r="E24" s="74"/>
      <c r="F24" s="31"/>
      <c r="G24" s="74"/>
      <c r="H24" s="74">
        <f>J24</f>
        <v>591.16215839999995</v>
      </c>
      <c r="I24" s="31" t="s">
        <v>236</v>
      </c>
      <c r="J24" s="76">
        <f>500984.88*1.18/1000</f>
        <v>591.16215839999995</v>
      </c>
    </row>
    <row r="25" spans="1:13" x14ac:dyDescent="0.25">
      <c r="A25" s="162"/>
      <c r="B25" s="159" t="s">
        <v>118</v>
      </c>
      <c r="C25" s="159"/>
      <c r="D25" s="31" t="s">
        <v>13</v>
      </c>
      <c r="E25" s="74">
        <f>349.83/1000</f>
        <v>0.34982999999999997</v>
      </c>
      <c r="F25" s="74" t="s">
        <v>13</v>
      </c>
      <c r="G25" s="74">
        <f t="shared" ref="G25:G41" si="1">E25</f>
        <v>0.34982999999999997</v>
      </c>
      <c r="H25" s="74">
        <f>349.83/1000</f>
        <v>0.34982999999999997</v>
      </c>
      <c r="I25" s="74" t="s">
        <v>13</v>
      </c>
      <c r="J25" s="76">
        <f>H25</f>
        <v>0.34982999999999997</v>
      </c>
      <c r="L25" s="36">
        <f>G25</f>
        <v>0.34982999999999997</v>
      </c>
    </row>
    <row r="26" spans="1:13" ht="15.75" thickBot="1" x14ac:dyDescent="0.3">
      <c r="A26" s="168"/>
      <c r="B26" s="160" t="s">
        <v>136</v>
      </c>
      <c r="C26" s="160"/>
      <c r="D26" s="80" t="s">
        <v>13</v>
      </c>
      <c r="E26" s="79">
        <v>10.844659999999999</v>
      </c>
      <c r="F26" s="79" t="s">
        <v>13</v>
      </c>
      <c r="G26" s="79">
        <f t="shared" si="1"/>
        <v>10.844659999999999</v>
      </c>
      <c r="H26" s="79">
        <v>10.844659999999999</v>
      </c>
      <c r="I26" s="79" t="s">
        <v>13</v>
      </c>
      <c r="J26" s="83">
        <f t="shared" ref="J26" si="2">H26</f>
        <v>10.844659999999999</v>
      </c>
      <c r="K26" s="36"/>
      <c r="L26" s="36"/>
    </row>
    <row r="27" spans="1:13" ht="28.5" x14ac:dyDescent="0.25">
      <c r="A27" s="161" t="s">
        <v>54</v>
      </c>
      <c r="B27" s="69" t="s">
        <v>55</v>
      </c>
      <c r="C27" s="69" t="s">
        <v>52</v>
      </c>
      <c r="D27" s="71">
        <f t="shared" ref="D27" si="3">8817712.56/1000</f>
        <v>8817.7125599999999</v>
      </c>
      <c r="E27" s="71">
        <f>G27</f>
        <v>4397.2747200000003</v>
      </c>
      <c r="F27" s="69" t="s">
        <v>150</v>
      </c>
      <c r="G27" s="71">
        <v>4397.2747200000003</v>
      </c>
      <c r="H27" s="71"/>
      <c r="I27" s="69"/>
      <c r="J27" s="35"/>
      <c r="K27" s="36">
        <f>E27</f>
        <v>4397.2747200000003</v>
      </c>
    </row>
    <row r="28" spans="1:13" ht="28.5" x14ac:dyDescent="0.25">
      <c r="A28" s="162"/>
      <c r="B28" s="68" t="s">
        <v>71</v>
      </c>
      <c r="C28" s="68" t="s">
        <v>67</v>
      </c>
      <c r="D28" s="74">
        <v>2073.1010799999999</v>
      </c>
      <c r="E28" s="74">
        <v>1238.0420899999999</v>
      </c>
      <c r="F28" s="68" t="s">
        <v>152</v>
      </c>
      <c r="G28" s="74">
        <f t="shared" si="1"/>
        <v>1238.0420899999999</v>
      </c>
      <c r="H28" s="74"/>
      <c r="I28" s="68"/>
      <c r="J28" s="76"/>
      <c r="K28" s="36">
        <f>E28</f>
        <v>1238.0420899999999</v>
      </c>
    </row>
    <row r="29" spans="1:13" ht="28.5" x14ac:dyDescent="0.25">
      <c r="A29" s="162"/>
      <c r="B29" s="68" t="s">
        <v>72</v>
      </c>
      <c r="C29" s="68" t="s">
        <v>68</v>
      </c>
      <c r="D29" s="74">
        <v>555.48947999999996</v>
      </c>
      <c r="E29" s="74">
        <v>512.75951999999995</v>
      </c>
      <c r="F29" s="68" t="s">
        <v>190</v>
      </c>
      <c r="G29" s="74">
        <f t="shared" si="1"/>
        <v>512.75951999999995</v>
      </c>
      <c r="H29" s="74"/>
      <c r="I29" s="68"/>
      <c r="J29" s="76"/>
      <c r="L29" s="36">
        <f>G29</f>
        <v>512.75951999999995</v>
      </c>
    </row>
    <row r="30" spans="1:13" ht="42.75" x14ac:dyDescent="0.25">
      <c r="A30" s="162"/>
      <c r="B30" s="68" t="s">
        <v>138</v>
      </c>
      <c r="C30" s="68" t="s">
        <v>137</v>
      </c>
      <c r="D30" s="74">
        <v>584.05349999999999</v>
      </c>
      <c r="E30" s="74">
        <v>294.11799999999999</v>
      </c>
      <c r="F30" s="68" t="s">
        <v>203</v>
      </c>
      <c r="G30" s="74">
        <f>E30</f>
        <v>294.11799999999999</v>
      </c>
      <c r="H30" s="74"/>
      <c r="I30" s="68"/>
      <c r="J30" s="76"/>
      <c r="L30" s="41"/>
    </row>
    <row r="31" spans="1:13" ht="28.5" x14ac:dyDescent="0.25">
      <c r="A31" s="162"/>
      <c r="B31" s="68" t="s">
        <v>140</v>
      </c>
      <c r="C31" s="68" t="s">
        <v>232</v>
      </c>
      <c r="D31" s="74">
        <f>12567790.39/1000</f>
        <v>12567.79039</v>
      </c>
      <c r="E31" s="74"/>
      <c r="F31" s="68"/>
      <c r="G31" s="74"/>
      <c r="H31" s="74">
        <f>J31</f>
        <v>2476.1919685999997</v>
      </c>
      <c r="I31" s="68" t="s">
        <v>222</v>
      </c>
      <c r="J31" s="76">
        <f>2098467.77*1.18/1000</f>
        <v>2476.1919685999997</v>
      </c>
      <c r="L31" s="41"/>
    </row>
    <row r="32" spans="1:13" ht="42.75" x14ac:dyDescent="0.25">
      <c r="A32" s="162"/>
      <c r="B32" s="105" t="s">
        <v>140</v>
      </c>
      <c r="C32" s="105" t="s">
        <v>231</v>
      </c>
      <c r="D32" s="106">
        <v>24657.366180000001</v>
      </c>
      <c r="E32" s="74"/>
      <c r="F32" s="68"/>
      <c r="G32" s="74"/>
      <c r="H32" s="74">
        <f>J32</f>
        <v>4109.5610311999999</v>
      </c>
      <c r="I32" s="68" t="s">
        <v>244</v>
      </c>
      <c r="J32" s="76">
        <f>3482678.84*1.18/1000</f>
        <v>4109.5610311999999</v>
      </c>
      <c r="L32" s="41"/>
    </row>
    <row r="33" spans="1:12" ht="42.75" x14ac:dyDescent="0.25">
      <c r="A33" s="162"/>
      <c r="B33" s="105"/>
      <c r="C33" s="105"/>
      <c r="D33" s="106"/>
      <c r="E33" s="74"/>
      <c r="F33" s="68"/>
      <c r="G33" s="74"/>
      <c r="H33" s="74">
        <f>J33</f>
        <v>4109.5610311999999</v>
      </c>
      <c r="I33" s="68" t="s">
        <v>245</v>
      </c>
      <c r="J33" s="76">
        <f>3482678.84*1.18/1000</f>
        <v>4109.5610311999999</v>
      </c>
      <c r="L33" s="41"/>
    </row>
    <row r="34" spans="1:12" ht="42.75" x14ac:dyDescent="0.25">
      <c r="A34" s="162"/>
      <c r="B34" s="105"/>
      <c r="C34" s="105"/>
      <c r="D34" s="106"/>
      <c r="E34" s="74"/>
      <c r="F34" s="68"/>
      <c r="G34" s="74"/>
      <c r="H34" s="74">
        <f>J34</f>
        <v>4109.5610311999999</v>
      </c>
      <c r="I34" s="68" t="s">
        <v>246</v>
      </c>
      <c r="J34" s="76">
        <f>3482678.84*1.18/1000</f>
        <v>4109.5610311999999</v>
      </c>
      <c r="L34" s="41"/>
    </row>
    <row r="35" spans="1:12" ht="42.75" x14ac:dyDescent="0.25">
      <c r="A35" s="162"/>
      <c r="B35" s="105" t="s">
        <v>50</v>
      </c>
      <c r="C35" s="105" t="s">
        <v>51</v>
      </c>
      <c r="D35" s="106"/>
      <c r="E35" s="74">
        <f>G35</f>
        <v>518.05073899999991</v>
      </c>
      <c r="F35" s="68" t="s">
        <v>207</v>
      </c>
      <c r="G35" s="74">
        <f>439026.05*1.18/1000</f>
        <v>518.05073899999991</v>
      </c>
      <c r="H35" s="74">
        <f>157.41708*1.18</f>
        <v>185.75215439999999</v>
      </c>
      <c r="I35" s="68" t="s">
        <v>227</v>
      </c>
      <c r="J35" s="76">
        <f>157417.08*1.18/1000</f>
        <v>185.75215439999997</v>
      </c>
    </row>
    <row r="36" spans="1:12" ht="28.5" x14ac:dyDescent="0.25">
      <c r="A36" s="162"/>
      <c r="B36" s="105"/>
      <c r="C36" s="105"/>
      <c r="D36" s="106"/>
      <c r="E36" s="74"/>
      <c r="F36" s="68"/>
      <c r="G36" s="74"/>
      <c r="H36" s="74">
        <f t="shared" ref="H36:H37" si="4">157.41708*1.18</f>
        <v>185.75215439999999</v>
      </c>
      <c r="I36" s="68" t="s">
        <v>227</v>
      </c>
      <c r="J36" s="76">
        <f t="shared" ref="J36:J37" si="5">157417.08*1.18/1000</f>
        <v>185.75215439999997</v>
      </c>
    </row>
    <row r="37" spans="1:12" ht="28.5" x14ac:dyDescent="0.25">
      <c r="A37" s="162"/>
      <c r="B37" s="105"/>
      <c r="C37" s="105"/>
      <c r="D37" s="106"/>
      <c r="E37" s="74"/>
      <c r="F37" s="68"/>
      <c r="G37" s="74"/>
      <c r="H37" s="74">
        <f t="shared" si="4"/>
        <v>185.75215439999999</v>
      </c>
      <c r="I37" s="68" t="s">
        <v>227</v>
      </c>
      <c r="J37" s="76">
        <f t="shared" si="5"/>
        <v>185.75215439999997</v>
      </c>
    </row>
    <row r="38" spans="1:12" ht="43.5" thickBot="1" x14ac:dyDescent="0.3">
      <c r="A38" s="163"/>
      <c r="B38" s="127" t="s">
        <v>139</v>
      </c>
      <c r="C38" s="127"/>
      <c r="D38" s="127"/>
      <c r="E38" s="49"/>
      <c r="F38" s="81"/>
      <c r="G38" s="49"/>
      <c r="H38" s="49">
        <v>128.95178060000001</v>
      </c>
      <c r="I38" s="81" t="s">
        <v>260</v>
      </c>
      <c r="J38" s="78">
        <f>109281.17*1.18/1000</f>
        <v>128.95178060000001</v>
      </c>
    </row>
    <row r="39" spans="1:12" s="6" customFormat="1" x14ac:dyDescent="0.25">
      <c r="A39" s="149" t="s">
        <v>14</v>
      </c>
      <c r="B39" s="156" t="s">
        <v>15</v>
      </c>
      <c r="C39" s="156" t="s">
        <v>57</v>
      </c>
      <c r="D39" s="146">
        <v>16520.70492</v>
      </c>
      <c r="E39" s="73">
        <v>2301.1429600000001</v>
      </c>
      <c r="F39" s="14" t="s">
        <v>172</v>
      </c>
      <c r="G39" s="73">
        <f t="shared" si="1"/>
        <v>2301.1429600000001</v>
      </c>
      <c r="H39" s="73"/>
      <c r="I39" s="14"/>
      <c r="J39" s="15"/>
      <c r="K39" s="45">
        <f>E39</f>
        <v>2301.1429600000001</v>
      </c>
    </row>
    <row r="40" spans="1:12" s="6" customFormat="1" ht="28.5" x14ac:dyDescent="0.25">
      <c r="A40" s="155"/>
      <c r="B40" s="105"/>
      <c r="C40" s="105"/>
      <c r="D40" s="106"/>
      <c r="E40" s="74">
        <v>147.12096</v>
      </c>
      <c r="F40" s="31" t="s">
        <v>188</v>
      </c>
      <c r="G40" s="74">
        <f t="shared" si="1"/>
        <v>147.12096</v>
      </c>
      <c r="H40" s="74">
        <f>J40</f>
        <v>147.12096039999997</v>
      </c>
      <c r="I40" s="31" t="s">
        <v>208</v>
      </c>
      <c r="J40" s="76">
        <f>124678.78*1.18/1000</f>
        <v>147.12096039999997</v>
      </c>
      <c r="L40" s="45">
        <f>G40</f>
        <v>147.12096</v>
      </c>
    </row>
    <row r="41" spans="1:12" s="6" customFormat="1" ht="28.5" x14ac:dyDescent="0.25">
      <c r="A41" s="155"/>
      <c r="B41" s="105"/>
      <c r="C41" s="105"/>
      <c r="D41" s="106"/>
      <c r="E41" s="74">
        <v>183.20737</v>
      </c>
      <c r="F41" s="31" t="s">
        <v>189</v>
      </c>
      <c r="G41" s="74">
        <f t="shared" si="1"/>
        <v>183.20737</v>
      </c>
      <c r="H41" s="74">
        <f>J41</f>
        <v>183.20736640000001</v>
      </c>
      <c r="I41" s="31" t="s">
        <v>210</v>
      </c>
      <c r="J41" s="76">
        <f>155260.48*1.18/1000</f>
        <v>183.20736640000001</v>
      </c>
      <c r="L41" s="45">
        <f>G41</f>
        <v>183.20737</v>
      </c>
    </row>
    <row r="42" spans="1:12" s="6" customFormat="1" ht="42.75" x14ac:dyDescent="0.25">
      <c r="A42" s="155"/>
      <c r="B42" s="105" t="s">
        <v>50</v>
      </c>
      <c r="C42" s="105" t="s">
        <v>51</v>
      </c>
      <c r="D42" s="106"/>
      <c r="E42" s="106">
        <f>G42+G43</f>
        <v>30.951647800000003</v>
      </c>
      <c r="F42" s="68" t="s">
        <v>207</v>
      </c>
      <c r="G42" s="74">
        <f>13518.87*1.18/1000</f>
        <v>15.952266600000002</v>
      </c>
      <c r="H42" s="74">
        <f>J42</f>
        <v>1.8828670000000001</v>
      </c>
      <c r="I42" s="68" t="s">
        <v>149</v>
      </c>
      <c r="J42" s="76">
        <f>1595.65*1.18/1000</f>
        <v>1.8828670000000001</v>
      </c>
    </row>
    <row r="43" spans="1:12" s="6" customFormat="1" ht="43.5" thickBot="1" x14ac:dyDescent="0.3">
      <c r="A43" s="150"/>
      <c r="B43" s="157"/>
      <c r="C43" s="157"/>
      <c r="D43" s="153"/>
      <c r="E43" s="153"/>
      <c r="F43" s="82" t="s">
        <v>205</v>
      </c>
      <c r="G43" s="79">
        <f>12711.34*1.18/1000</f>
        <v>14.9993812</v>
      </c>
      <c r="H43" s="79">
        <f>J43</f>
        <v>13.116514199999999</v>
      </c>
      <c r="I43" s="82" t="s">
        <v>149</v>
      </c>
      <c r="J43" s="83">
        <f>11115.69*1.18/1000</f>
        <v>13.116514199999999</v>
      </c>
    </row>
    <row r="44" spans="1:12" s="6" customFormat="1" ht="15.75" thickBot="1" x14ac:dyDescent="0.3">
      <c r="A44" s="98" t="s">
        <v>16</v>
      </c>
      <c r="B44" s="99"/>
      <c r="C44" s="99"/>
      <c r="D44" s="66"/>
      <c r="E44" s="100">
        <f>SUM(E9:E43)</f>
        <v>18450.6518062</v>
      </c>
      <c r="F44" s="100"/>
      <c r="G44" s="100">
        <f>SUM(G9:G43)</f>
        <v>18450.6518062</v>
      </c>
      <c r="H44" s="100">
        <f>SUM(H9:H43)</f>
        <v>32012.910424999998</v>
      </c>
      <c r="I44" s="100"/>
      <c r="J44" s="101">
        <f>SUM(J9:J43)</f>
        <v>32012.910424999998</v>
      </c>
    </row>
    <row r="45" spans="1:12" s="6" customFormat="1" ht="30.75" thickBot="1" x14ac:dyDescent="0.3">
      <c r="A45" s="17" t="s">
        <v>17</v>
      </c>
      <c r="B45" s="18"/>
      <c r="C45" s="18"/>
      <c r="D45" s="18"/>
      <c r="E45" s="19">
        <f>G45</f>
        <v>2139.7679126750008</v>
      </c>
      <c r="F45" s="16"/>
      <c r="G45" s="19">
        <f>713.255970891667*3</f>
        <v>2139.7679126750008</v>
      </c>
      <c r="H45" s="19">
        <f>J45</f>
        <v>2139.7679126750008</v>
      </c>
      <c r="I45" s="16"/>
      <c r="J45" s="19">
        <f>713.255970891667*3</f>
        <v>2139.7679126750008</v>
      </c>
      <c r="K45" s="6">
        <v>713.25597089166661</v>
      </c>
      <c r="L45" s="6">
        <v>713.25597089166661</v>
      </c>
    </row>
    <row r="46" spans="1:12" s="6" customFormat="1" ht="30.75" thickBot="1" x14ac:dyDescent="0.3">
      <c r="A46" s="17" t="s">
        <v>18</v>
      </c>
      <c r="B46" s="18"/>
      <c r="C46" s="18"/>
      <c r="D46" s="18"/>
      <c r="E46" s="19">
        <f>E44+E45</f>
        <v>20590.419718875</v>
      </c>
      <c r="F46" s="16"/>
      <c r="G46" s="19">
        <f>G44+G45</f>
        <v>20590.419718875</v>
      </c>
      <c r="H46" s="19">
        <f>H44+H45</f>
        <v>34152.678337674995</v>
      </c>
      <c r="I46" s="16"/>
      <c r="J46" s="20">
        <f>J44+J45</f>
        <v>34152.678337674995</v>
      </c>
      <c r="K46" s="45">
        <f>SUM(K9:K45)</f>
        <v>10685.047850891668</v>
      </c>
      <c r="L46" s="6">
        <f>SUM(L9:L45)</f>
        <v>2913.2812808916665</v>
      </c>
    </row>
    <row r="47" spans="1:12" s="6" customFormat="1" ht="15.75" thickBot="1" x14ac:dyDescent="0.3">
      <c r="A47" s="40" t="s">
        <v>19</v>
      </c>
      <c r="B47" s="18"/>
      <c r="C47" s="18"/>
      <c r="D47" s="18"/>
      <c r="E47" s="38"/>
      <c r="F47" s="39"/>
      <c r="G47" s="39"/>
      <c r="H47" s="39"/>
      <c r="I47" s="39"/>
      <c r="J47" s="39"/>
      <c r="K47" s="6">
        <v>10685.047850891668</v>
      </c>
      <c r="L47" s="45"/>
    </row>
    <row r="48" spans="1:12" s="6" customFormat="1" ht="28.5" x14ac:dyDescent="0.25">
      <c r="A48" s="128" t="s">
        <v>20</v>
      </c>
      <c r="B48" s="68" t="s">
        <v>22</v>
      </c>
      <c r="C48" s="68" t="s">
        <v>73</v>
      </c>
      <c r="D48" s="68">
        <f>30668.87/1000</f>
        <v>30.668869999999998</v>
      </c>
      <c r="E48" s="71">
        <f>G48</f>
        <v>30.668869999999998</v>
      </c>
      <c r="F48" s="34" t="s">
        <v>151</v>
      </c>
      <c r="G48" s="71">
        <v>30.668869999999998</v>
      </c>
      <c r="H48" s="71"/>
      <c r="I48" s="34"/>
      <c r="J48" s="71"/>
      <c r="K48" s="45">
        <f>E48</f>
        <v>30.668869999999998</v>
      </c>
    </row>
    <row r="49" spans="1:12" s="6" customFormat="1" ht="71.25" x14ac:dyDescent="0.25">
      <c r="A49" s="128"/>
      <c r="B49" s="68" t="s">
        <v>61</v>
      </c>
      <c r="C49" s="68" t="s">
        <v>62</v>
      </c>
      <c r="D49" s="74">
        <v>742.8</v>
      </c>
      <c r="E49" s="74">
        <v>742.8</v>
      </c>
      <c r="F49" s="31" t="s">
        <v>160</v>
      </c>
      <c r="G49" s="74">
        <f>E49</f>
        <v>742.8</v>
      </c>
      <c r="H49" s="74"/>
      <c r="I49" s="31"/>
      <c r="J49" s="74"/>
      <c r="K49" s="45">
        <f>E49</f>
        <v>742.8</v>
      </c>
    </row>
    <row r="50" spans="1:12" s="6" customFormat="1" ht="28.5" x14ac:dyDescent="0.25">
      <c r="A50" s="128"/>
      <c r="B50" s="68" t="s">
        <v>21</v>
      </c>
      <c r="C50" s="68" t="s">
        <v>74</v>
      </c>
      <c r="D50" s="74">
        <v>7700</v>
      </c>
      <c r="E50" s="74">
        <v>98.926779999999994</v>
      </c>
      <c r="F50" s="31" t="s">
        <v>191</v>
      </c>
      <c r="G50" s="74">
        <f>E50</f>
        <v>98.926779999999994</v>
      </c>
      <c r="H50" s="74"/>
      <c r="I50" s="31"/>
      <c r="J50" s="74"/>
      <c r="L50" s="45">
        <f>G50</f>
        <v>98.926779999999994</v>
      </c>
    </row>
    <row r="51" spans="1:12" s="6" customFormat="1" x14ac:dyDescent="0.25">
      <c r="A51" s="128"/>
      <c r="B51" s="105" t="s">
        <v>75</v>
      </c>
      <c r="C51" s="105"/>
      <c r="D51" s="31" t="s">
        <v>13</v>
      </c>
      <c r="E51" s="74">
        <f>G51</f>
        <v>369.99197999999996</v>
      </c>
      <c r="F51" s="68" t="s">
        <v>13</v>
      </c>
      <c r="G51" s="74">
        <f>369991.98/1000</f>
        <v>369.99197999999996</v>
      </c>
      <c r="H51" s="74">
        <f>J51</f>
        <v>369.99198000000001</v>
      </c>
      <c r="I51" s="68" t="s">
        <v>13</v>
      </c>
      <c r="J51" s="74">
        <v>369.99198000000001</v>
      </c>
      <c r="K51" s="45">
        <f>E51</f>
        <v>369.99197999999996</v>
      </c>
    </row>
    <row r="52" spans="1:12" s="6" customFormat="1" x14ac:dyDescent="0.25">
      <c r="A52" s="128"/>
      <c r="B52" s="105" t="s">
        <v>76</v>
      </c>
      <c r="C52" s="105"/>
      <c r="D52" s="31" t="s">
        <v>13</v>
      </c>
      <c r="E52" s="74">
        <f t="shared" ref="E52:E53" si="6">G52</f>
        <v>273.91406000000001</v>
      </c>
      <c r="F52" s="68" t="s">
        <v>13</v>
      </c>
      <c r="G52" s="74">
        <v>273.91406000000001</v>
      </c>
      <c r="H52" s="74">
        <f t="shared" ref="H52:H53" si="7">J52</f>
        <v>273.91406000000001</v>
      </c>
      <c r="I52" s="68" t="s">
        <v>13</v>
      </c>
      <c r="J52" s="74">
        <v>273.91406000000001</v>
      </c>
      <c r="L52" s="45">
        <f>G52</f>
        <v>273.91406000000001</v>
      </c>
    </row>
    <row r="53" spans="1:12" s="6" customFormat="1" ht="15.75" thickBot="1" x14ac:dyDescent="0.3">
      <c r="A53" s="143"/>
      <c r="B53" s="105" t="s">
        <v>141</v>
      </c>
      <c r="C53" s="105"/>
      <c r="D53" s="42" t="s">
        <v>13</v>
      </c>
      <c r="E53" s="84">
        <f t="shared" si="6"/>
        <v>340.16266000000002</v>
      </c>
      <c r="F53" s="68" t="s">
        <v>13</v>
      </c>
      <c r="G53" s="74">
        <v>340.16266000000002</v>
      </c>
      <c r="H53" s="84">
        <f t="shared" si="7"/>
        <v>340.16266000000002</v>
      </c>
      <c r="I53" s="68" t="s">
        <v>13</v>
      </c>
      <c r="J53" s="74">
        <v>340.16266000000002</v>
      </c>
    </row>
    <row r="54" spans="1:12" s="6" customFormat="1" ht="28.5" customHeight="1" x14ac:dyDescent="0.25">
      <c r="A54" s="107" t="s">
        <v>49</v>
      </c>
      <c r="B54" s="85" t="s">
        <v>83</v>
      </c>
      <c r="C54" s="72" t="s">
        <v>82</v>
      </c>
      <c r="D54" s="73">
        <v>66177.229590000003</v>
      </c>
      <c r="E54" s="73">
        <v>39706.337399999997</v>
      </c>
      <c r="F54" s="73" t="s">
        <v>174</v>
      </c>
      <c r="G54" s="73">
        <f>E54</f>
        <v>39706.337399999997</v>
      </c>
      <c r="H54" s="21"/>
      <c r="I54" s="14"/>
      <c r="J54" s="15"/>
      <c r="K54" s="45">
        <f>E54</f>
        <v>39706.337399999997</v>
      </c>
    </row>
    <row r="55" spans="1:12" s="6" customFormat="1" ht="28.5" x14ac:dyDescent="0.25">
      <c r="A55" s="108"/>
      <c r="B55" s="127" t="s">
        <v>84</v>
      </c>
      <c r="C55" s="127" t="s">
        <v>60</v>
      </c>
      <c r="D55" s="130">
        <v>347.226</v>
      </c>
      <c r="E55" s="86">
        <v>35.225999999999999</v>
      </c>
      <c r="F55" s="49" t="s">
        <v>173</v>
      </c>
      <c r="G55" s="86">
        <f>E55</f>
        <v>35.225999999999999</v>
      </c>
      <c r="H55" s="86">
        <v>78</v>
      </c>
      <c r="I55" s="49" t="s">
        <v>228</v>
      </c>
      <c r="J55" s="78">
        <f t="shared" ref="J55:J57" si="8">H55</f>
        <v>78</v>
      </c>
      <c r="K55" s="32">
        <f>E55</f>
        <v>35.225999999999999</v>
      </c>
    </row>
    <row r="56" spans="1:12" s="6" customFormat="1" ht="28.5" x14ac:dyDescent="0.25">
      <c r="A56" s="108"/>
      <c r="B56" s="128"/>
      <c r="C56" s="128"/>
      <c r="D56" s="123"/>
      <c r="E56" s="74">
        <v>78</v>
      </c>
      <c r="F56" s="49" t="s">
        <v>183</v>
      </c>
      <c r="G56" s="86">
        <f t="shared" ref="G56" si="9">E56</f>
        <v>78</v>
      </c>
      <c r="H56" s="86">
        <f>66.10169*1.18</f>
        <v>77.999994200000003</v>
      </c>
      <c r="I56" s="49" t="s">
        <v>230</v>
      </c>
      <c r="J56" s="78">
        <f t="shared" si="8"/>
        <v>77.999994200000003</v>
      </c>
      <c r="K56" s="32"/>
      <c r="L56" s="37">
        <f>G56</f>
        <v>78</v>
      </c>
    </row>
    <row r="57" spans="1:12" s="6" customFormat="1" ht="29.25" thickBot="1" x14ac:dyDescent="0.3">
      <c r="A57" s="109"/>
      <c r="B57" s="143"/>
      <c r="C57" s="143"/>
      <c r="D57" s="144"/>
      <c r="E57" s="79">
        <v>78</v>
      </c>
      <c r="F57" s="79" t="s">
        <v>146</v>
      </c>
      <c r="G57" s="102">
        <v>78</v>
      </c>
      <c r="H57" s="102">
        <f>66.10169*1.18</f>
        <v>77.999994200000003</v>
      </c>
      <c r="I57" s="79" t="s">
        <v>229</v>
      </c>
      <c r="J57" s="83">
        <f t="shared" si="8"/>
        <v>77.999994200000003</v>
      </c>
      <c r="K57" s="32"/>
    </row>
    <row r="58" spans="1:12" s="6" customFormat="1" ht="42.75" customHeight="1" x14ac:dyDescent="0.25">
      <c r="A58" s="107" t="s">
        <v>49</v>
      </c>
      <c r="B58" s="154" t="s">
        <v>22</v>
      </c>
      <c r="C58" s="145" t="s">
        <v>63</v>
      </c>
      <c r="D58" s="158" t="s">
        <v>88</v>
      </c>
      <c r="E58" s="103">
        <v>70.330359999999999</v>
      </c>
      <c r="F58" s="75" t="s">
        <v>171</v>
      </c>
      <c r="G58" s="103">
        <f t="shared" ref="G58:G61" si="10">E58</f>
        <v>70.330359999999999</v>
      </c>
      <c r="H58" s="103">
        <f>59.602*1.18</f>
        <v>70.330359999999999</v>
      </c>
      <c r="I58" s="75" t="s">
        <v>216</v>
      </c>
      <c r="J58" s="104">
        <v>70.330359999999999</v>
      </c>
      <c r="K58" s="37">
        <f>E58</f>
        <v>70.330359999999999</v>
      </c>
    </row>
    <row r="59" spans="1:12" s="6" customFormat="1" ht="28.5" x14ac:dyDescent="0.25">
      <c r="A59" s="108"/>
      <c r="B59" s="121"/>
      <c r="C59" s="128"/>
      <c r="D59" s="151"/>
      <c r="E59" s="86">
        <v>70.330359999999999</v>
      </c>
      <c r="F59" s="49" t="s">
        <v>202</v>
      </c>
      <c r="G59" s="86">
        <f t="shared" si="10"/>
        <v>70.330359999999999</v>
      </c>
      <c r="H59" s="86">
        <f>J59</f>
        <v>70.330359999999999</v>
      </c>
      <c r="I59" s="49" t="s">
        <v>215</v>
      </c>
      <c r="J59" s="78">
        <f>59602*1.18/1000</f>
        <v>70.330359999999999</v>
      </c>
      <c r="L59" s="37">
        <f>G59</f>
        <v>70.330359999999999</v>
      </c>
    </row>
    <row r="60" spans="1:12" s="6" customFormat="1" ht="28.5" x14ac:dyDescent="0.25">
      <c r="A60" s="108"/>
      <c r="B60" s="122"/>
      <c r="C60" s="129"/>
      <c r="D60" s="148"/>
      <c r="E60" s="86">
        <v>70.330359999999999</v>
      </c>
      <c r="F60" s="49" t="s">
        <v>147</v>
      </c>
      <c r="G60" s="86">
        <f t="shared" si="10"/>
        <v>70.330359999999999</v>
      </c>
      <c r="H60" s="86">
        <f>59.602*1.18</f>
        <v>70.330359999999999</v>
      </c>
      <c r="I60" s="49" t="s">
        <v>217</v>
      </c>
      <c r="J60" s="78">
        <v>70.330359999999999</v>
      </c>
    </row>
    <row r="61" spans="1:12" s="6" customFormat="1" x14ac:dyDescent="0.25">
      <c r="A61" s="108"/>
      <c r="B61" s="127" t="s">
        <v>50</v>
      </c>
      <c r="C61" s="127" t="s">
        <v>98</v>
      </c>
      <c r="D61" s="147"/>
      <c r="E61" s="74">
        <v>36364.387674199999</v>
      </c>
      <c r="F61" s="49" t="s">
        <v>179</v>
      </c>
      <c r="G61" s="86">
        <f t="shared" si="10"/>
        <v>36364.387674199999</v>
      </c>
      <c r="H61" s="147">
        <f>J61+J62+J63</f>
        <v>610.29349839999998</v>
      </c>
      <c r="I61" s="130" t="s">
        <v>149</v>
      </c>
      <c r="J61" s="78">
        <f>283085.29*1.18/1000</f>
        <v>334.04064219999992</v>
      </c>
      <c r="K61" s="37">
        <f>G61</f>
        <v>36364.387674199999</v>
      </c>
    </row>
    <row r="62" spans="1:12" s="6" customFormat="1" ht="42.75" x14ac:dyDescent="0.25">
      <c r="A62" s="108"/>
      <c r="B62" s="128"/>
      <c r="C62" s="128"/>
      <c r="D62" s="151"/>
      <c r="E62" s="74">
        <f>G62</f>
        <v>2696.6588852</v>
      </c>
      <c r="F62" s="69" t="s">
        <v>207</v>
      </c>
      <c r="G62" s="86">
        <f>2285304.14*1.18/1000</f>
        <v>2696.6588852</v>
      </c>
      <c r="H62" s="151"/>
      <c r="I62" s="123"/>
      <c r="J62" s="78">
        <f>53873.17*1.18/1000</f>
        <v>63.570340599999994</v>
      </c>
    </row>
    <row r="63" spans="1:12" s="6" customFormat="1" ht="42.75" x14ac:dyDescent="0.25">
      <c r="A63" s="108"/>
      <c r="B63" s="128"/>
      <c r="C63" s="128"/>
      <c r="D63" s="151"/>
      <c r="E63" s="74">
        <f>G63</f>
        <v>63.570340599999994</v>
      </c>
      <c r="F63" s="68" t="s">
        <v>205</v>
      </c>
      <c r="G63" s="86">
        <f>53873.17*1.18/1000</f>
        <v>63.570340599999994</v>
      </c>
      <c r="H63" s="148"/>
      <c r="I63" s="124"/>
      <c r="J63" s="78">
        <f>180239.42*1.18/1000</f>
        <v>212.68251560000002</v>
      </c>
    </row>
    <row r="64" spans="1:12" s="6" customFormat="1" ht="42.75" x14ac:dyDescent="0.25">
      <c r="A64" s="108"/>
      <c r="B64" s="128"/>
      <c r="C64" s="128"/>
      <c r="D64" s="151"/>
      <c r="E64" s="74">
        <f>G64</f>
        <v>334.04064219999992</v>
      </c>
      <c r="F64" s="70" t="s">
        <v>205</v>
      </c>
      <c r="G64" s="86">
        <f>283085.29*1.18/1000</f>
        <v>334.04064219999992</v>
      </c>
      <c r="H64" s="147">
        <f>J64+J65+J66</f>
        <v>642.86086119999993</v>
      </c>
      <c r="I64" s="130" t="s">
        <v>221</v>
      </c>
      <c r="J64" s="78">
        <f>257268.41*1.18/1000</f>
        <v>303.57672379999997</v>
      </c>
    </row>
    <row r="65" spans="1:12" s="6" customFormat="1" ht="42.75" x14ac:dyDescent="0.25">
      <c r="A65" s="108"/>
      <c r="B65" s="128"/>
      <c r="C65" s="128"/>
      <c r="D65" s="151"/>
      <c r="E65" s="74">
        <f>G65</f>
        <v>212.68251560000002</v>
      </c>
      <c r="F65" s="49" t="s">
        <v>205</v>
      </c>
      <c r="G65" s="86">
        <f>180239.42*1.18/1000</f>
        <v>212.68251560000002</v>
      </c>
      <c r="H65" s="151"/>
      <c r="I65" s="123"/>
      <c r="J65" s="78">
        <f>255379.94*1.18/1000</f>
        <v>301.34832919999997</v>
      </c>
    </row>
    <row r="66" spans="1:12" s="6" customFormat="1" x14ac:dyDescent="0.25">
      <c r="A66" s="108"/>
      <c r="B66" s="128"/>
      <c r="C66" s="128"/>
      <c r="D66" s="151"/>
      <c r="E66" s="74"/>
      <c r="F66" s="49"/>
      <c r="G66" s="86"/>
      <c r="H66" s="148"/>
      <c r="I66" s="124"/>
      <c r="J66" s="78">
        <f>32148.99*1.18/1000</f>
        <v>37.935808199999997</v>
      </c>
    </row>
    <row r="67" spans="1:12" s="6" customFormat="1" x14ac:dyDescent="0.25">
      <c r="A67" s="108"/>
      <c r="B67" s="128"/>
      <c r="C67" s="128"/>
      <c r="D67" s="151"/>
      <c r="E67" s="74"/>
      <c r="F67" s="49"/>
      <c r="G67" s="86"/>
      <c r="H67" s="147">
        <f>J67+J68</f>
        <v>4599.9910027999995</v>
      </c>
      <c r="I67" s="130" t="s">
        <v>221</v>
      </c>
      <c r="J67" s="78">
        <f>1782443.22*1.18/1000</f>
        <v>2103.2829995999996</v>
      </c>
      <c r="K67" s="43"/>
      <c r="L67" s="37"/>
    </row>
    <row r="68" spans="1:12" s="6" customFormat="1" x14ac:dyDescent="0.25">
      <c r="A68" s="108"/>
      <c r="B68" s="129"/>
      <c r="C68" s="129"/>
      <c r="D68" s="148"/>
      <c r="E68" s="74"/>
      <c r="F68" s="49"/>
      <c r="G68" s="86"/>
      <c r="H68" s="148"/>
      <c r="I68" s="124"/>
      <c r="J68" s="78">
        <f>2115854.24*1.18/1000</f>
        <v>2496.7080032000003</v>
      </c>
    </row>
    <row r="69" spans="1:12" s="6" customFormat="1" ht="42.75" x14ac:dyDescent="0.25">
      <c r="A69" s="108"/>
      <c r="B69" s="152" t="s">
        <v>85</v>
      </c>
      <c r="C69" s="127" t="s">
        <v>59</v>
      </c>
      <c r="D69" s="130">
        <v>227158.85084</v>
      </c>
      <c r="E69" s="74">
        <v>19205.041499999999</v>
      </c>
      <c r="F69" s="49" t="s">
        <v>184</v>
      </c>
      <c r="G69" s="74">
        <f t="shared" ref="G69:G111" si="11">E69</f>
        <v>19205.041499999999</v>
      </c>
      <c r="H69" s="74">
        <f>J69</f>
        <v>10614.570666599999</v>
      </c>
      <c r="I69" s="49" t="s">
        <v>211</v>
      </c>
      <c r="J69" s="78">
        <f>8995398.87*1.18/1000</f>
        <v>10614.570666599999</v>
      </c>
      <c r="L69" s="45">
        <f>G69</f>
        <v>19205.041499999999</v>
      </c>
    </row>
    <row r="70" spans="1:12" s="6" customFormat="1" ht="42.75" x14ac:dyDescent="0.25">
      <c r="A70" s="108"/>
      <c r="B70" s="121"/>
      <c r="C70" s="128"/>
      <c r="D70" s="123"/>
      <c r="E70" s="74">
        <v>9553.1136000000006</v>
      </c>
      <c r="F70" s="49" t="s">
        <v>145</v>
      </c>
      <c r="G70" s="74">
        <f>E70</f>
        <v>9553.1136000000006</v>
      </c>
      <c r="H70" s="74">
        <f>J70</f>
        <v>11863.081820599999</v>
      </c>
      <c r="I70" s="49" t="s">
        <v>220</v>
      </c>
      <c r="J70" s="78">
        <f>10053459.17*1.18/1000</f>
        <v>11863.081820599999</v>
      </c>
    </row>
    <row r="71" spans="1:12" s="6" customFormat="1" x14ac:dyDescent="0.25">
      <c r="A71" s="108"/>
      <c r="B71" s="121"/>
      <c r="C71" s="128"/>
      <c r="D71" s="123"/>
      <c r="E71" s="74"/>
      <c r="F71" s="49"/>
      <c r="G71" s="74"/>
      <c r="H71" s="130">
        <f>J71+J72+J73+J74</f>
        <v>17601.794204999998</v>
      </c>
      <c r="I71" s="130" t="s">
        <v>223</v>
      </c>
      <c r="J71" s="78">
        <f>14038737.54*1.18/1000</f>
        <v>16565.710297199999</v>
      </c>
    </row>
    <row r="72" spans="1:12" s="6" customFormat="1" x14ac:dyDescent="0.25">
      <c r="A72" s="108"/>
      <c r="B72" s="121"/>
      <c r="C72" s="128"/>
      <c r="D72" s="123"/>
      <c r="E72" s="74"/>
      <c r="F72" s="49"/>
      <c r="G72" s="74"/>
      <c r="H72" s="123"/>
      <c r="I72" s="123"/>
      <c r="J72" s="78">
        <f>66364.31*1.18/1000</f>
        <v>78.309885799999989</v>
      </c>
    </row>
    <row r="73" spans="1:12" s="6" customFormat="1" x14ac:dyDescent="0.25">
      <c r="A73" s="108"/>
      <c r="B73" s="121"/>
      <c r="C73" s="128"/>
      <c r="D73" s="123"/>
      <c r="E73" s="74"/>
      <c r="F73" s="49"/>
      <c r="G73" s="74"/>
      <c r="H73" s="123"/>
      <c r="I73" s="123"/>
      <c r="J73" s="78">
        <f>405836.45*1.18/1000</f>
        <v>478.88701099999997</v>
      </c>
    </row>
    <row r="74" spans="1:12" s="6" customFormat="1" x14ac:dyDescent="0.25">
      <c r="A74" s="108"/>
      <c r="B74" s="122"/>
      <c r="C74" s="129"/>
      <c r="D74" s="124"/>
      <c r="E74" s="74"/>
      <c r="F74" s="49"/>
      <c r="G74" s="74"/>
      <c r="H74" s="124"/>
      <c r="I74" s="124"/>
      <c r="J74" s="78">
        <f>405836.45*1.18/1000</f>
        <v>478.88701099999997</v>
      </c>
    </row>
    <row r="75" spans="1:12" s="6" customFormat="1" ht="42.75" x14ac:dyDescent="0.25">
      <c r="A75" s="108"/>
      <c r="B75" s="87" t="s">
        <v>86</v>
      </c>
      <c r="C75" s="77" t="s">
        <v>77</v>
      </c>
      <c r="D75" s="74">
        <v>13944.00001</v>
      </c>
      <c r="E75" s="74">
        <v>13944.00001</v>
      </c>
      <c r="F75" s="49" t="s">
        <v>185</v>
      </c>
      <c r="G75" s="74">
        <f t="shared" si="11"/>
        <v>13944.00001</v>
      </c>
      <c r="H75" s="86"/>
      <c r="I75" s="49"/>
      <c r="J75" s="78"/>
      <c r="L75" s="45">
        <f t="shared" ref="L75:L79" si="12">G75</f>
        <v>13944.00001</v>
      </c>
    </row>
    <row r="76" spans="1:12" s="6" customFormat="1" ht="28.5" x14ac:dyDescent="0.25">
      <c r="A76" s="108"/>
      <c r="B76" s="87" t="s">
        <v>22</v>
      </c>
      <c r="C76" s="77" t="s">
        <v>78</v>
      </c>
      <c r="D76" s="74">
        <v>5175.5789999999997</v>
      </c>
      <c r="E76" s="74">
        <v>5175.5789999999997</v>
      </c>
      <c r="F76" s="49" t="s">
        <v>196</v>
      </c>
      <c r="G76" s="74">
        <f t="shared" si="11"/>
        <v>5175.5789999999997</v>
      </c>
      <c r="H76" s="86"/>
      <c r="I76" s="49"/>
      <c r="J76" s="78"/>
      <c r="L76" s="45">
        <f t="shared" si="12"/>
        <v>5175.5789999999997</v>
      </c>
    </row>
    <row r="77" spans="1:12" s="6" customFormat="1" ht="28.5" x14ac:dyDescent="0.25">
      <c r="A77" s="108"/>
      <c r="B77" s="87" t="s">
        <v>22</v>
      </c>
      <c r="C77" s="77" t="s">
        <v>79</v>
      </c>
      <c r="D77" s="74">
        <v>5084.0429999999997</v>
      </c>
      <c r="E77" s="74">
        <v>5084.0429999999997</v>
      </c>
      <c r="F77" s="49" t="s">
        <v>197</v>
      </c>
      <c r="G77" s="74">
        <f t="shared" si="11"/>
        <v>5084.0429999999997</v>
      </c>
      <c r="H77" s="86"/>
      <c r="I77" s="49"/>
      <c r="J77" s="78"/>
      <c r="L77" s="45">
        <f t="shared" si="12"/>
        <v>5084.0429999999997</v>
      </c>
    </row>
    <row r="78" spans="1:12" s="6" customFormat="1" ht="42.75" x14ac:dyDescent="0.25">
      <c r="A78" s="108"/>
      <c r="B78" s="81" t="s">
        <v>87</v>
      </c>
      <c r="C78" s="81" t="s">
        <v>80</v>
      </c>
      <c r="D78" s="74">
        <v>6690</v>
      </c>
      <c r="E78" s="74">
        <v>6690</v>
      </c>
      <c r="F78" s="31" t="s">
        <v>200</v>
      </c>
      <c r="G78" s="74">
        <f t="shared" si="11"/>
        <v>6690</v>
      </c>
      <c r="H78" s="74">
        <f>J78</f>
        <v>6690.0000054000002</v>
      </c>
      <c r="I78" s="31" t="s">
        <v>247</v>
      </c>
      <c r="J78" s="76">
        <f>5669491.53*1.18/1000</f>
        <v>6690.0000054000002</v>
      </c>
      <c r="L78" s="45">
        <f t="shared" si="12"/>
        <v>6690</v>
      </c>
    </row>
    <row r="79" spans="1:12" s="6" customFormat="1" ht="42.75" x14ac:dyDescent="0.25">
      <c r="A79" s="108"/>
      <c r="B79" s="81" t="s">
        <v>87</v>
      </c>
      <c r="C79" s="81" t="s">
        <v>81</v>
      </c>
      <c r="D79" s="74">
        <v>26390</v>
      </c>
      <c r="E79" s="74">
        <v>26390</v>
      </c>
      <c r="F79" s="31" t="s">
        <v>201</v>
      </c>
      <c r="G79" s="74">
        <f t="shared" si="11"/>
        <v>26390</v>
      </c>
      <c r="H79" s="74">
        <v>26390</v>
      </c>
      <c r="I79" s="31" t="s">
        <v>248</v>
      </c>
      <c r="J79" s="76">
        <f>22364406.78*1.18/1000</f>
        <v>26390.000000399999</v>
      </c>
      <c r="L79" s="45">
        <f t="shared" si="12"/>
        <v>26390</v>
      </c>
    </row>
    <row r="80" spans="1:12" s="6" customFormat="1" x14ac:dyDescent="0.25">
      <c r="A80" s="108"/>
      <c r="B80" s="105" t="s">
        <v>118</v>
      </c>
      <c r="C80" s="105"/>
      <c r="D80" s="31" t="s">
        <v>13</v>
      </c>
      <c r="E80" s="74">
        <f t="shared" ref="E80:E81" si="13">G80</f>
        <v>74.195179999999993</v>
      </c>
      <c r="F80" s="68" t="s">
        <v>13</v>
      </c>
      <c r="G80" s="74">
        <v>74.195179999999993</v>
      </c>
      <c r="H80" s="74">
        <f t="shared" ref="H80:H81" si="14">J80</f>
        <v>74.195179999999993</v>
      </c>
      <c r="I80" s="31" t="s">
        <v>13</v>
      </c>
      <c r="J80" s="76">
        <v>74.195179999999993</v>
      </c>
      <c r="L80" s="45">
        <f>G80</f>
        <v>74.195179999999993</v>
      </c>
    </row>
    <row r="81" spans="1:12" s="6" customFormat="1" ht="15.75" thickBot="1" x14ac:dyDescent="0.3">
      <c r="A81" s="109"/>
      <c r="B81" s="143" t="s">
        <v>136</v>
      </c>
      <c r="C81" s="143"/>
      <c r="D81" s="42" t="s">
        <v>13</v>
      </c>
      <c r="E81" s="84">
        <f t="shared" si="13"/>
        <v>153.33672000000001</v>
      </c>
      <c r="F81" s="67" t="s">
        <v>13</v>
      </c>
      <c r="G81" s="84">
        <v>153.33672000000001</v>
      </c>
      <c r="H81" s="84">
        <f t="shared" si="14"/>
        <v>153.33672000000001</v>
      </c>
      <c r="I81" s="42" t="s">
        <v>13</v>
      </c>
      <c r="J81" s="89">
        <v>153.33672000000001</v>
      </c>
    </row>
    <row r="82" spans="1:12" s="6" customFormat="1" ht="28.5" x14ac:dyDescent="0.25">
      <c r="A82" s="149" t="s">
        <v>24</v>
      </c>
      <c r="B82" s="72" t="s">
        <v>114</v>
      </c>
      <c r="C82" s="72" t="s">
        <v>113</v>
      </c>
      <c r="D82" s="73">
        <v>5648.6285099999996</v>
      </c>
      <c r="E82" s="73">
        <v>403.79244</v>
      </c>
      <c r="F82" s="14" t="s">
        <v>164</v>
      </c>
      <c r="G82" s="73">
        <f>E82</f>
        <v>403.79244</v>
      </c>
      <c r="H82" s="73"/>
      <c r="I82" s="14"/>
      <c r="J82" s="15"/>
      <c r="K82" s="45">
        <f>G82</f>
        <v>403.79244</v>
      </c>
    </row>
    <row r="83" spans="1:12" s="6" customFormat="1" ht="43.5" thickBot="1" x14ac:dyDescent="0.3">
      <c r="A83" s="150"/>
      <c r="B83" s="82" t="s">
        <v>50</v>
      </c>
      <c r="C83" s="82" t="s">
        <v>98</v>
      </c>
      <c r="D83" s="79"/>
      <c r="E83" s="79">
        <v>88.874720800000006</v>
      </c>
      <c r="F83" s="82" t="s">
        <v>207</v>
      </c>
      <c r="G83" s="79">
        <f>75317.56*1.18/1000</f>
        <v>88.874720799999992</v>
      </c>
      <c r="H83" s="79"/>
      <c r="I83" s="80"/>
      <c r="J83" s="83"/>
    </row>
    <row r="84" spans="1:12" s="6" customFormat="1" ht="29.25" thickBot="1" x14ac:dyDescent="0.3">
      <c r="A84" s="96" t="s">
        <v>58</v>
      </c>
      <c r="B84" s="88" t="s">
        <v>105</v>
      </c>
      <c r="C84" s="67" t="s">
        <v>115</v>
      </c>
      <c r="D84" s="84">
        <v>1914.41255</v>
      </c>
      <c r="E84" s="84">
        <v>1033.0551800000001</v>
      </c>
      <c r="F84" s="67" t="s">
        <v>153</v>
      </c>
      <c r="G84" s="42">
        <f>E84</f>
        <v>1033.0551800000001</v>
      </c>
      <c r="H84" s="42"/>
      <c r="I84" s="67"/>
      <c r="J84" s="91"/>
      <c r="K84" s="45">
        <f>E84</f>
        <v>1033.0551800000001</v>
      </c>
    </row>
    <row r="85" spans="1:12" s="6" customFormat="1" ht="28.5" x14ac:dyDescent="0.25">
      <c r="A85" s="145" t="s">
        <v>25</v>
      </c>
      <c r="B85" s="129" t="s">
        <v>121</v>
      </c>
      <c r="C85" s="129" t="s">
        <v>120</v>
      </c>
      <c r="D85" s="124">
        <v>118900</v>
      </c>
      <c r="E85" s="81">
        <v>20711.781309999998</v>
      </c>
      <c r="F85" s="77" t="s">
        <v>181</v>
      </c>
      <c r="G85" s="81">
        <f>E85</f>
        <v>20711.781309999998</v>
      </c>
      <c r="H85" s="92">
        <f>J85</f>
        <v>2328.64858</v>
      </c>
      <c r="I85" s="81" t="s">
        <v>212</v>
      </c>
      <c r="J85" s="78">
        <f>1973431*1.18/1000</f>
        <v>2328.64858</v>
      </c>
      <c r="L85" s="46">
        <f>G85</f>
        <v>20711.781309999998</v>
      </c>
    </row>
    <row r="86" spans="1:12" s="6" customFormat="1" ht="28.5" x14ac:dyDescent="0.25">
      <c r="A86" s="128"/>
      <c r="B86" s="105"/>
      <c r="C86" s="105"/>
      <c r="D86" s="106"/>
      <c r="E86" s="74">
        <v>2328.64858</v>
      </c>
      <c r="F86" s="68" t="s">
        <v>142</v>
      </c>
      <c r="G86" s="74">
        <f>E86</f>
        <v>2328.64858</v>
      </c>
      <c r="H86" s="74">
        <f>J86</f>
        <v>5095.7544799999996</v>
      </c>
      <c r="I86" s="31" t="s">
        <v>219</v>
      </c>
      <c r="J86" s="74">
        <f>4318436*1.18/1000</f>
        <v>5095.7544799999996</v>
      </c>
    </row>
    <row r="87" spans="1:12" s="6" customFormat="1" ht="28.5" x14ac:dyDescent="0.25">
      <c r="A87" s="128"/>
      <c r="B87" s="105"/>
      <c r="C87" s="105"/>
      <c r="D87" s="106"/>
      <c r="E87" s="74"/>
      <c r="F87" s="68"/>
      <c r="G87" s="74"/>
      <c r="H87" s="74">
        <f>J87</f>
        <v>2713.1149999999998</v>
      </c>
      <c r="I87" s="31" t="s">
        <v>224</v>
      </c>
      <c r="J87" s="74">
        <f>2299250*1.18/1000</f>
        <v>2713.1149999999998</v>
      </c>
    </row>
    <row r="88" spans="1:12" s="6" customFormat="1" x14ac:dyDescent="0.25">
      <c r="A88" s="128"/>
      <c r="B88" s="131" t="s">
        <v>119</v>
      </c>
      <c r="C88" s="132"/>
      <c r="D88" s="133"/>
      <c r="E88" s="74">
        <v>261.54313999999999</v>
      </c>
      <c r="F88" s="68" t="s">
        <v>13</v>
      </c>
      <c r="G88" s="74">
        <f>261543.14/1000</f>
        <v>261.54313999999999</v>
      </c>
      <c r="H88" s="74">
        <v>261.54313999999999</v>
      </c>
      <c r="I88" s="68" t="s">
        <v>13</v>
      </c>
      <c r="J88" s="74">
        <f t="shared" ref="J88:J90" si="15">H88</f>
        <v>261.54313999999999</v>
      </c>
      <c r="K88" s="45">
        <f>E88</f>
        <v>261.54313999999999</v>
      </c>
    </row>
    <row r="89" spans="1:12" s="6" customFormat="1" x14ac:dyDescent="0.25">
      <c r="A89" s="128"/>
      <c r="B89" s="131" t="s">
        <v>118</v>
      </c>
      <c r="C89" s="132"/>
      <c r="D89" s="133"/>
      <c r="E89" s="74">
        <v>358.91514000000001</v>
      </c>
      <c r="F89" s="68" t="s">
        <v>13</v>
      </c>
      <c r="G89" s="74">
        <f>E89</f>
        <v>358.91514000000001</v>
      </c>
      <c r="H89" s="74">
        <v>358.91514000000001</v>
      </c>
      <c r="I89" s="68" t="s">
        <v>13</v>
      </c>
      <c r="J89" s="74">
        <f t="shared" si="15"/>
        <v>358.91514000000001</v>
      </c>
      <c r="L89" s="45">
        <f>G89</f>
        <v>358.91514000000001</v>
      </c>
    </row>
    <row r="90" spans="1:12" s="6" customFormat="1" ht="15.75" thickBot="1" x14ac:dyDescent="0.3">
      <c r="A90" s="143"/>
      <c r="B90" s="134" t="s">
        <v>136</v>
      </c>
      <c r="C90" s="135"/>
      <c r="D90" s="136"/>
      <c r="E90" s="74">
        <v>435.89622000000003</v>
      </c>
      <c r="F90" s="68" t="s">
        <v>13</v>
      </c>
      <c r="G90" s="74">
        <f>E90</f>
        <v>435.89622000000003</v>
      </c>
      <c r="H90" s="74">
        <v>435.89622000000003</v>
      </c>
      <c r="I90" s="68" t="s">
        <v>13</v>
      </c>
      <c r="J90" s="74">
        <f t="shared" si="15"/>
        <v>435.89622000000003</v>
      </c>
    </row>
    <row r="91" spans="1:12" s="6" customFormat="1" ht="43.5" thickBot="1" x14ac:dyDescent="0.3">
      <c r="A91" s="93" t="s">
        <v>26</v>
      </c>
      <c r="B91" s="90" t="s">
        <v>117</v>
      </c>
      <c r="C91" s="90" t="s">
        <v>116</v>
      </c>
      <c r="D91" s="94">
        <v>5063.8994000000002</v>
      </c>
      <c r="E91" s="16">
        <v>309.77654000000001</v>
      </c>
      <c r="F91" s="90" t="s">
        <v>163</v>
      </c>
      <c r="G91" s="16">
        <f>E91</f>
        <v>309.77654000000001</v>
      </c>
      <c r="H91" s="16"/>
      <c r="I91" s="94"/>
      <c r="J91" s="95"/>
      <c r="K91" s="45">
        <f>E91</f>
        <v>309.77654000000001</v>
      </c>
    </row>
    <row r="92" spans="1:12" s="6" customFormat="1" ht="28.5" customHeight="1" x14ac:dyDescent="0.25">
      <c r="A92" s="107" t="s">
        <v>23</v>
      </c>
      <c r="B92" s="72" t="s">
        <v>101</v>
      </c>
      <c r="C92" s="72" t="s">
        <v>89</v>
      </c>
      <c r="D92" s="73">
        <v>122.04089999999999</v>
      </c>
      <c r="E92" s="73">
        <v>48.816360000000003</v>
      </c>
      <c r="F92" s="14" t="s">
        <v>154</v>
      </c>
      <c r="G92" s="73">
        <f t="shared" si="11"/>
        <v>48.816360000000003</v>
      </c>
      <c r="H92" s="73"/>
      <c r="I92" s="14"/>
      <c r="J92" s="15"/>
      <c r="K92" s="45">
        <f>E92</f>
        <v>48.816360000000003</v>
      </c>
    </row>
    <row r="93" spans="1:12" s="6" customFormat="1" x14ac:dyDescent="0.25">
      <c r="A93" s="108"/>
      <c r="B93" s="127" t="s">
        <v>102</v>
      </c>
      <c r="C93" s="127" t="s">
        <v>90</v>
      </c>
      <c r="D93" s="147">
        <v>2299.1916099999999</v>
      </c>
      <c r="E93" s="74">
        <v>1302.9100000000001</v>
      </c>
      <c r="F93" s="31" t="s">
        <v>155</v>
      </c>
      <c r="G93" s="74">
        <f t="shared" si="11"/>
        <v>1302.9100000000001</v>
      </c>
      <c r="H93" s="74"/>
      <c r="I93" s="31"/>
      <c r="J93" s="76"/>
      <c r="K93" s="45">
        <f t="shared" ref="K93:K98" si="16">E93</f>
        <v>1302.9100000000001</v>
      </c>
    </row>
    <row r="94" spans="1:12" s="6" customFormat="1" x14ac:dyDescent="0.25">
      <c r="A94" s="108"/>
      <c r="B94" s="129"/>
      <c r="C94" s="129"/>
      <c r="D94" s="148"/>
      <c r="E94" s="74">
        <v>230.3</v>
      </c>
      <c r="F94" s="31" t="s">
        <v>156</v>
      </c>
      <c r="G94" s="74">
        <f t="shared" si="11"/>
        <v>230.3</v>
      </c>
      <c r="H94" s="74"/>
      <c r="I94" s="31"/>
      <c r="J94" s="76"/>
      <c r="K94" s="45">
        <f t="shared" si="16"/>
        <v>230.3</v>
      </c>
    </row>
    <row r="95" spans="1:12" s="6" customFormat="1" x14ac:dyDescent="0.25">
      <c r="A95" s="108"/>
      <c r="B95" s="127" t="s">
        <v>55</v>
      </c>
      <c r="C95" s="127" t="s">
        <v>91</v>
      </c>
      <c r="D95" s="130">
        <v>10530.802799999999</v>
      </c>
      <c r="E95" s="74">
        <v>709.09860000000003</v>
      </c>
      <c r="F95" s="31" t="s">
        <v>159</v>
      </c>
      <c r="G95" s="74">
        <f t="shared" si="11"/>
        <v>709.09860000000003</v>
      </c>
      <c r="H95" s="74"/>
      <c r="I95" s="74"/>
      <c r="J95" s="76"/>
      <c r="K95" s="45">
        <f t="shared" si="16"/>
        <v>709.09860000000003</v>
      </c>
    </row>
    <row r="96" spans="1:12" s="6" customFormat="1" x14ac:dyDescent="0.25">
      <c r="A96" s="108"/>
      <c r="B96" s="129"/>
      <c r="C96" s="129"/>
      <c r="D96" s="124"/>
      <c r="E96" s="74">
        <v>2514.6086100000002</v>
      </c>
      <c r="F96" s="31" t="s">
        <v>162</v>
      </c>
      <c r="G96" s="74">
        <f t="shared" si="11"/>
        <v>2514.6086100000002</v>
      </c>
      <c r="H96" s="74"/>
      <c r="I96" s="74"/>
      <c r="J96" s="76"/>
      <c r="K96" s="45">
        <f t="shared" si="16"/>
        <v>2514.6086100000002</v>
      </c>
    </row>
    <row r="97" spans="1:12" s="6" customFormat="1" ht="28.5" x14ac:dyDescent="0.25">
      <c r="A97" s="108"/>
      <c r="B97" s="68" t="s">
        <v>103</v>
      </c>
      <c r="C97" s="68" t="s">
        <v>92</v>
      </c>
      <c r="D97" s="74">
        <v>229.43799999999999</v>
      </c>
      <c r="E97" s="74">
        <v>229.43799999999999</v>
      </c>
      <c r="F97" s="31" t="s">
        <v>161</v>
      </c>
      <c r="G97" s="74">
        <f t="shared" si="11"/>
        <v>229.43799999999999</v>
      </c>
      <c r="H97" s="74"/>
      <c r="I97" s="74"/>
      <c r="J97" s="76"/>
      <c r="K97" s="45">
        <f t="shared" si="16"/>
        <v>229.43799999999999</v>
      </c>
    </row>
    <row r="98" spans="1:12" s="6" customFormat="1" x14ac:dyDescent="0.25">
      <c r="A98" s="108"/>
      <c r="B98" s="127" t="s">
        <v>104</v>
      </c>
      <c r="C98" s="127" t="s">
        <v>93</v>
      </c>
      <c r="D98" s="130">
        <v>5559.05</v>
      </c>
      <c r="E98" s="74">
        <v>2495.9578700000002</v>
      </c>
      <c r="F98" s="31" t="s">
        <v>165</v>
      </c>
      <c r="G98" s="74">
        <f t="shared" si="11"/>
        <v>2495.9578700000002</v>
      </c>
      <c r="H98" s="74"/>
      <c r="I98" s="31"/>
      <c r="J98" s="76"/>
      <c r="K98" s="45">
        <f t="shared" si="16"/>
        <v>2495.9578700000002</v>
      </c>
    </row>
    <row r="99" spans="1:12" s="6" customFormat="1" ht="28.5" x14ac:dyDescent="0.25">
      <c r="A99" s="108"/>
      <c r="B99" s="129"/>
      <c r="C99" s="129"/>
      <c r="D99" s="124"/>
      <c r="E99" s="74">
        <v>602.62027</v>
      </c>
      <c r="F99" s="81" t="s">
        <v>195</v>
      </c>
      <c r="G99" s="74">
        <f t="shared" si="11"/>
        <v>602.62027</v>
      </c>
      <c r="H99" s="49">
        <v>602.62026519999995</v>
      </c>
      <c r="I99" s="81" t="s">
        <v>208</v>
      </c>
      <c r="J99" s="78">
        <f>510695.14*1.18/1000</f>
        <v>602.62026520000006</v>
      </c>
      <c r="L99" s="45">
        <f>G99</f>
        <v>602.62027</v>
      </c>
    </row>
    <row r="100" spans="1:12" s="1" customFormat="1" x14ac:dyDescent="0.25">
      <c r="A100" s="108"/>
      <c r="B100" s="127" t="s">
        <v>104</v>
      </c>
      <c r="C100" s="127" t="s">
        <v>94</v>
      </c>
      <c r="D100" s="130">
        <v>4018.319</v>
      </c>
      <c r="E100" s="74">
        <v>2430.85437</v>
      </c>
      <c r="F100" s="81" t="s">
        <v>166</v>
      </c>
      <c r="G100" s="74">
        <f t="shared" si="11"/>
        <v>2430.85437</v>
      </c>
      <c r="H100" s="49"/>
      <c r="I100" s="81"/>
      <c r="J100" s="78"/>
      <c r="K100" s="13">
        <f>E100</f>
        <v>2430.85437</v>
      </c>
    </row>
    <row r="101" spans="1:12" s="1" customFormat="1" ht="28.5" x14ac:dyDescent="0.25">
      <c r="A101" s="108"/>
      <c r="B101" s="129"/>
      <c r="C101" s="129"/>
      <c r="D101" s="124"/>
      <c r="E101" s="74">
        <v>808.95973000000004</v>
      </c>
      <c r="F101" s="81" t="s">
        <v>194</v>
      </c>
      <c r="G101" s="74">
        <f t="shared" si="11"/>
        <v>808.95973000000004</v>
      </c>
      <c r="H101" s="49">
        <f>J101</f>
        <v>808.95972619999986</v>
      </c>
      <c r="I101" s="81" t="s">
        <v>209</v>
      </c>
      <c r="J101" s="78">
        <f>685559.09*1.18/1000</f>
        <v>808.95972619999986</v>
      </c>
      <c r="L101" s="13">
        <f>G101</f>
        <v>808.95973000000004</v>
      </c>
    </row>
    <row r="102" spans="1:12" s="1" customFormat="1" ht="28.5" x14ac:dyDescent="0.25">
      <c r="A102" s="108"/>
      <c r="B102" s="127" t="s">
        <v>105</v>
      </c>
      <c r="C102" s="127" t="s">
        <v>95</v>
      </c>
      <c r="D102" s="130">
        <v>4477.5</v>
      </c>
      <c r="E102" s="74">
        <v>235.68648999999999</v>
      </c>
      <c r="F102" s="81" t="s">
        <v>167</v>
      </c>
      <c r="G102" s="74">
        <f t="shared" si="11"/>
        <v>235.68648999999999</v>
      </c>
      <c r="H102" s="49">
        <f>J102</f>
        <v>51.656187399999993</v>
      </c>
      <c r="I102" s="81" t="s">
        <v>208</v>
      </c>
      <c r="J102" s="78">
        <f>43776.43*1.18/1000</f>
        <v>51.656187399999993</v>
      </c>
      <c r="K102" s="13">
        <f>E102</f>
        <v>235.68648999999999</v>
      </c>
    </row>
    <row r="103" spans="1:12" s="1" customFormat="1" x14ac:dyDescent="0.25">
      <c r="A103" s="108"/>
      <c r="B103" s="128"/>
      <c r="C103" s="128"/>
      <c r="D103" s="123"/>
      <c r="E103" s="74">
        <v>1626.2579599999999</v>
      </c>
      <c r="F103" s="81" t="s">
        <v>168</v>
      </c>
      <c r="G103" s="74">
        <f t="shared" si="11"/>
        <v>1626.2579599999999</v>
      </c>
      <c r="H103" s="49"/>
      <c r="I103" s="81"/>
      <c r="J103" s="78"/>
      <c r="K103" s="13">
        <f>E103</f>
        <v>1626.2579599999999</v>
      </c>
    </row>
    <row r="104" spans="1:12" s="1" customFormat="1" x14ac:dyDescent="0.25">
      <c r="A104" s="108"/>
      <c r="B104" s="129"/>
      <c r="C104" s="129"/>
      <c r="D104" s="124"/>
      <c r="E104" s="74">
        <v>51.656190000000002</v>
      </c>
      <c r="F104" s="81" t="s">
        <v>187</v>
      </c>
      <c r="G104" s="74">
        <f t="shared" si="11"/>
        <v>51.656190000000002</v>
      </c>
      <c r="H104" s="49"/>
      <c r="I104" s="81"/>
      <c r="J104" s="78"/>
      <c r="L104" s="13">
        <f>G104</f>
        <v>51.656190000000002</v>
      </c>
    </row>
    <row r="105" spans="1:12" s="1" customFormat="1" ht="28.5" x14ac:dyDescent="0.25">
      <c r="A105" s="108"/>
      <c r="B105" s="127" t="s">
        <v>106</v>
      </c>
      <c r="C105" s="127" t="s">
        <v>96</v>
      </c>
      <c r="D105" s="130">
        <v>3417.8249999999998</v>
      </c>
      <c r="E105" s="74">
        <v>1301.59338</v>
      </c>
      <c r="F105" s="81" t="s">
        <v>169</v>
      </c>
      <c r="G105" s="74">
        <f t="shared" si="11"/>
        <v>1301.59338</v>
      </c>
      <c r="H105" s="49">
        <f>J105</f>
        <v>386.99327199999999</v>
      </c>
      <c r="I105" s="81" t="s">
        <v>208</v>
      </c>
      <c r="J105" s="78">
        <f>327960.4*1.18/1000</f>
        <v>386.99327199999999</v>
      </c>
      <c r="K105" s="13">
        <f>E105</f>
        <v>1301.59338</v>
      </c>
    </row>
    <row r="106" spans="1:12" s="1" customFormat="1" x14ac:dyDescent="0.25">
      <c r="A106" s="108"/>
      <c r="B106" s="128"/>
      <c r="C106" s="128"/>
      <c r="D106" s="123"/>
      <c r="E106" s="74">
        <v>1010.78405</v>
      </c>
      <c r="F106" s="81" t="s">
        <v>170</v>
      </c>
      <c r="G106" s="74">
        <f t="shared" si="11"/>
        <v>1010.78405</v>
      </c>
      <c r="H106" s="49"/>
      <c r="I106" s="81"/>
      <c r="J106" s="78"/>
      <c r="K106" s="13">
        <f>E106</f>
        <v>1010.78405</v>
      </c>
    </row>
    <row r="107" spans="1:12" s="1" customFormat="1" x14ac:dyDescent="0.25">
      <c r="A107" s="108"/>
      <c r="B107" s="129"/>
      <c r="C107" s="129"/>
      <c r="D107" s="124"/>
      <c r="E107" s="74">
        <v>386.99327</v>
      </c>
      <c r="F107" s="81" t="s">
        <v>186</v>
      </c>
      <c r="G107" s="74">
        <f t="shared" si="11"/>
        <v>386.99327</v>
      </c>
      <c r="H107" s="49"/>
      <c r="I107" s="81"/>
      <c r="J107" s="78"/>
      <c r="L107" s="45">
        <f t="shared" ref="L107:L110" si="17">G107</f>
        <v>386.99327</v>
      </c>
    </row>
    <row r="108" spans="1:12" s="6" customFormat="1" x14ac:dyDescent="0.25">
      <c r="A108" s="108"/>
      <c r="B108" s="127" t="s">
        <v>102</v>
      </c>
      <c r="C108" s="127" t="s">
        <v>90</v>
      </c>
      <c r="D108" s="130">
        <v>2299.1916099999999</v>
      </c>
      <c r="E108" s="74">
        <f>G108</f>
        <v>30.87</v>
      </c>
      <c r="F108" s="81" t="s">
        <v>180</v>
      </c>
      <c r="G108" s="74">
        <v>30.87</v>
      </c>
      <c r="H108" s="49"/>
      <c r="I108" s="81"/>
      <c r="J108" s="78"/>
      <c r="L108" s="45">
        <f t="shared" si="17"/>
        <v>30.87</v>
      </c>
    </row>
    <row r="109" spans="1:12" s="1" customFormat="1" x14ac:dyDescent="0.25">
      <c r="A109" s="108"/>
      <c r="B109" s="129"/>
      <c r="C109" s="129"/>
      <c r="D109" s="124"/>
      <c r="E109" s="74">
        <f>G109</f>
        <v>220.01</v>
      </c>
      <c r="F109" s="81" t="s">
        <v>180</v>
      </c>
      <c r="G109" s="74">
        <v>220.01</v>
      </c>
      <c r="H109" s="49"/>
      <c r="I109" s="81"/>
      <c r="J109" s="78"/>
      <c r="L109" s="45">
        <f t="shared" si="17"/>
        <v>220.01</v>
      </c>
    </row>
    <row r="110" spans="1:12" s="1" customFormat="1" ht="28.5" x14ac:dyDescent="0.25">
      <c r="A110" s="108"/>
      <c r="B110" s="77" t="s">
        <v>55</v>
      </c>
      <c r="C110" s="77" t="s">
        <v>91</v>
      </c>
      <c r="D110" s="49">
        <v>10530.802799999999</v>
      </c>
      <c r="E110" s="74">
        <v>1456.5965799999999</v>
      </c>
      <c r="F110" s="81" t="s">
        <v>182</v>
      </c>
      <c r="G110" s="74">
        <f t="shared" si="11"/>
        <v>1456.5965799999999</v>
      </c>
      <c r="H110" s="49"/>
      <c r="I110" s="81"/>
      <c r="J110" s="78"/>
      <c r="L110" s="45">
        <f t="shared" si="17"/>
        <v>1456.5965799999999</v>
      </c>
    </row>
    <row r="111" spans="1:12" s="6" customFormat="1" ht="26.25" customHeight="1" x14ac:dyDescent="0.25">
      <c r="A111" s="108"/>
      <c r="B111" s="127" t="s">
        <v>107</v>
      </c>
      <c r="C111" s="127" t="s">
        <v>97</v>
      </c>
      <c r="D111" s="130">
        <v>6102.2672000000002</v>
      </c>
      <c r="E111" s="74">
        <v>3209.7872000000002</v>
      </c>
      <c r="F111" s="81" t="s">
        <v>199</v>
      </c>
      <c r="G111" s="74">
        <f t="shared" si="11"/>
        <v>3209.7872000000002</v>
      </c>
      <c r="H111" s="130">
        <f>J111+J112</f>
        <v>1011.9999897999999</v>
      </c>
      <c r="I111" s="137" t="s">
        <v>249</v>
      </c>
      <c r="J111" s="78">
        <f>516525.42*1.18/1000</f>
        <v>609.49999559999992</v>
      </c>
      <c r="L111" s="45">
        <f>G111</f>
        <v>3209.7872000000002</v>
      </c>
    </row>
    <row r="112" spans="1:12" s="6" customFormat="1" x14ac:dyDescent="0.25">
      <c r="A112" s="108"/>
      <c r="B112" s="128"/>
      <c r="C112" s="128"/>
      <c r="D112" s="123"/>
      <c r="E112" s="74"/>
      <c r="F112" s="81"/>
      <c r="G112" s="74"/>
      <c r="H112" s="124"/>
      <c r="I112" s="138"/>
      <c r="J112" s="78">
        <f>341101.69*1.18/1000</f>
        <v>402.49999419999995</v>
      </c>
    </row>
    <row r="113" spans="1:11" s="6" customFormat="1" ht="28.5" x14ac:dyDescent="0.25">
      <c r="A113" s="108"/>
      <c r="B113" s="128"/>
      <c r="C113" s="128"/>
      <c r="D113" s="123"/>
      <c r="E113" s="74"/>
      <c r="F113" s="81"/>
      <c r="G113" s="74"/>
      <c r="H113" s="49">
        <f>960.15254*1.18</f>
        <v>1132.9799972000001</v>
      </c>
      <c r="I113" s="81" t="s">
        <v>253</v>
      </c>
      <c r="J113" s="78">
        <f>960152.54*1.18/1000</f>
        <v>1132.9799972000001</v>
      </c>
    </row>
    <row r="114" spans="1:11" s="6" customFormat="1" ht="28.5" x14ac:dyDescent="0.25">
      <c r="A114" s="108"/>
      <c r="B114" s="129"/>
      <c r="C114" s="129"/>
      <c r="D114" s="124"/>
      <c r="E114" s="74"/>
      <c r="F114" s="81"/>
      <c r="G114" s="74"/>
      <c r="H114" s="49">
        <f>J114</f>
        <v>747.50000439999985</v>
      </c>
      <c r="I114" s="81" t="s">
        <v>252</v>
      </c>
      <c r="J114" s="78">
        <f>633474.58*1.18/1000</f>
        <v>747.50000439999985</v>
      </c>
    </row>
    <row r="115" spans="1:11" s="6" customFormat="1" ht="42.75" customHeight="1" x14ac:dyDescent="0.25">
      <c r="A115" s="108"/>
      <c r="B115" s="77" t="s">
        <v>100</v>
      </c>
      <c r="C115" s="77" t="s">
        <v>108</v>
      </c>
      <c r="D115" s="49">
        <v>253.35616999999999</v>
      </c>
      <c r="E115" s="74"/>
      <c r="F115" s="81"/>
      <c r="G115" s="74"/>
      <c r="H115" s="74">
        <f>J115</f>
        <v>29.532367399999998</v>
      </c>
      <c r="I115" s="81" t="s">
        <v>218</v>
      </c>
      <c r="J115" s="76">
        <f>25027.43*1.18/1000</f>
        <v>29.532367399999998</v>
      </c>
    </row>
    <row r="116" spans="1:11" s="6" customFormat="1" ht="28.5" x14ac:dyDescent="0.25">
      <c r="A116" s="108"/>
      <c r="B116" s="127" t="s">
        <v>109</v>
      </c>
      <c r="C116" s="127" t="s">
        <v>110</v>
      </c>
      <c r="D116" s="130">
        <v>3468</v>
      </c>
      <c r="E116" s="74"/>
      <c r="F116" s="81"/>
      <c r="G116" s="74"/>
      <c r="H116" s="49">
        <f>J116</f>
        <v>1065.6219982</v>
      </c>
      <c r="I116" s="81" t="s">
        <v>251</v>
      </c>
      <c r="J116" s="78">
        <f>903069.49*1.18/1000</f>
        <v>1065.6219982</v>
      </c>
    </row>
    <row r="117" spans="1:11" s="6" customFormat="1" ht="29.25" thickBot="1" x14ac:dyDescent="0.3">
      <c r="A117" s="109"/>
      <c r="B117" s="143"/>
      <c r="C117" s="143"/>
      <c r="D117" s="144"/>
      <c r="E117" s="79"/>
      <c r="F117" s="80"/>
      <c r="G117" s="79"/>
      <c r="H117" s="79">
        <f>600.32034*1.18</f>
        <v>708.37800119999997</v>
      </c>
      <c r="I117" s="80" t="s">
        <v>250</v>
      </c>
      <c r="J117" s="83">
        <f t="shared" ref="J117" si="18">H117</f>
        <v>708.37800119999997</v>
      </c>
    </row>
    <row r="118" spans="1:11" s="1" customFormat="1" ht="42.75" x14ac:dyDescent="0.25">
      <c r="A118" s="107" t="s">
        <v>23</v>
      </c>
      <c r="B118" s="145" t="s">
        <v>50</v>
      </c>
      <c r="C118" s="145" t="s">
        <v>98</v>
      </c>
      <c r="D118" s="146"/>
      <c r="E118" s="73">
        <f>G118</f>
        <v>1082.9207038</v>
      </c>
      <c r="F118" s="72" t="s">
        <v>207</v>
      </c>
      <c r="G118" s="73">
        <f>917729.41*1.18/1000</f>
        <v>1082.9207038</v>
      </c>
      <c r="H118" s="75">
        <f>419.9564*1.18</f>
        <v>495.54855199999992</v>
      </c>
      <c r="I118" s="145" t="s">
        <v>149</v>
      </c>
      <c r="J118" s="104">
        <f>419956.4*1.18/1000</f>
        <v>495.54855200000003</v>
      </c>
    </row>
    <row r="119" spans="1:11" s="6" customFormat="1" x14ac:dyDescent="0.25">
      <c r="A119" s="108"/>
      <c r="B119" s="128"/>
      <c r="C119" s="128"/>
      <c r="D119" s="106"/>
      <c r="E119" s="130">
        <f>G119+G120</f>
        <v>502.5626608</v>
      </c>
      <c r="F119" s="137" t="s">
        <v>205</v>
      </c>
      <c r="G119" s="74">
        <f>419956.4*1.18/1000</f>
        <v>495.54855200000003</v>
      </c>
      <c r="H119" s="49">
        <f>J119</f>
        <v>7.0141087999999989</v>
      </c>
      <c r="I119" s="129"/>
      <c r="J119" s="78">
        <f>5944.16*1.18/1000</f>
        <v>7.0141087999999989</v>
      </c>
    </row>
    <row r="120" spans="1:11" s="6" customFormat="1" ht="28.5" x14ac:dyDescent="0.25">
      <c r="A120" s="108"/>
      <c r="B120" s="128"/>
      <c r="C120" s="128"/>
      <c r="D120" s="106"/>
      <c r="E120" s="124"/>
      <c r="F120" s="138"/>
      <c r="G120" s="49">
        <f>5944.16*1.18/1000</f>
        <v>7.0141087999999989</v>
      </c>
      <c r="H120" s="49">
        <f>J120</f>
        <v>56.149981400000001</v>
      </c>
      <c r="I120" s="81" t="s">
        <v>221</v>
      </c>
      <c r="J120" s="78">
        <f>47584.73*1.18/1000</f>
        <v>56.149981400000001</v>
      </c>
    </row>
    <row r="121" spans="1:11" s="6" customFormat="1" x14ac:dyDescent="0.25">
      <c r="A121" s="108"/>
      <c r="B121" s="128"/>
      <c r="C121" s="128"/>
      <c r="D121" s="106"/>
      <c r="E121" s="74"/>
      <c r="F121" s="81"/>
      <c r="G121" s="49"/>
      <c r="H121" s="130">
        <f>J121+J122</f>
        <v>129.23240820000001</v>
      </c>
      <c r="I121" s="137" t="s">
        <v>221</v>
      </c>
      <c r="J121" s="78">
        <f>65960.3*1.18/1000</f>
        <v>77.833153999999993</v>
      </c>
    </row>
    <row r="122" spans="1:11" s="6" customFormat="1" ht="42.75" customHeight="1" x14ac:dyDescent="0.25">
      <c r="A122" s="108"/>
      <c r="B122" s="128"/>
      <c r="C122" s="128"/>
      <c r="D122" s="106"/>
      <c r="E122" s="74"/>
      <c r="F122" s="81"/>
      <c r="G122" s="49"/>
      <c r="H122" s="124"/>
      <c r="I122" s="138"/>
      <c r="J122" s="78">
        <f>43558.69*1.18/1000</f>
        <v>51.399254200000001</v>
      </c>
    </row>
    <row r="123" spans="1:11" s="6" customFormat="1" x14ac:dyDescent="0.25">
      <c r="A123" s="108"/>
      <c r="B123" s="128"/>
      <c r="C123" s="128"/>
      <c r="D123" s="106"/>
      <c r="E123" s="74"/>
      <c r="F123" s="81"/>
      <c r="G123" s="49"/>
      <c r="H123" s="130">
        <f>J123+J124+J125</f>
        <v>531.1586628</v>
      </c>
      <c r="I123" s="137" t="s">
        <v>221</v>
      </c>
      <c r="J123" s="78">
        <f>246628.28*1.18/1000</f>
        <v>291.02137039999997</v>
      </c>
    </row>
    <row r="124" spans="1:11" s="6" customFormat="1" x14ac:dyDescent="0.25">
      <c r="A124" s="108"/>
      <c r="B124" s="128"/>
      <c r="C124" s="128"/>
      <c r="D124" s="106"/>
      <c r="E124" s="74"/>
      <c r="F124" s="81"/>
      <c r="G124" s="49"/>
      <c r="H124" s="123"/>
      <c r="I124" s="139"/>
      <c r="J124" s="78">
        <f>122611.48*1.18/1000</f>
        <v>144.6815464</v>
      </c>
    </row>
    <row r="125" spans="1:11" s="6" customFormat="1" x14ac:dyDescent="0.25">
      <c r="A125" s="108"/>
      <c r="B125" s="128"/>
      <c r="C125" s="128"/>
      <c r="D125" s="106"/>
      <c r="E125" s="74"/>
      <c r="F125" s="81"/>
      <c r="G125" s="49"/>
      <c r="H125" s="124"/>
      <c r="I125" s="138"/>
      <c r="J125" s="78">
        <f>80894.7*1.18/1000</f>
        <v>95.455745999999991</v>
      </c>
    </row>
    <row r="126" spans="1:11" s="6" customFormat="1" ht="28.5" x14ac:dyDescent="0.25">
      <c r="A126" s="108"/>
      <c r="B126" s="129"/>
      <c r="C126" s="129"/>
      <c r="D126" s="106"/>
      <c r="E126" s="74"/>
      <c r="F126" s="81"/>
      <c r="G126" s="49"/>
      <c r="H126" s="49">
        <f>163.94748*1.18</f>
        <v>193.45802639999999</v>
      </c>
      <c r="I126" s="81" t="s">
        <v>221</v>
      </c>
      <c r="J126" s="78">
        <f t="shared" ref="J126" si="19">H126</f>
        <v>193.45802639999999</v>
      </c>
    </row>
    <row r="127" spans="1:11" s="6" customFormat="1" ht="43.5" thickBot="1" x14ac:dyDescent="0.3">
      <c r="A127" s="109"/>
      <c r="B127" s="140" t="s">
        <v>99</v>
      </c>
      <c r="C127" s="141"/>
      <c r="D127" s="142"/>
      <c r="E127" s="79"/>
      <c r="F127" s="80"/>
      <c r="G127" s="79"/>
      <c r="H127" s="79">
        <f>J127</f>
        <v>442.8330904</v>
      </c>
      <c r="I127" s="80" t="s">
        <v>259</v>
      </c>
      <c r="J127" s="83">
        <f>375282.28*1.18/1000</f>
        <v>442.8330904</v>
      </c>
    </row>
    <row r="128" spans="1:11" s="6" customFormat="1" ht="28.5" x14ac:dyDescent="0.25">
      <c r="A128" s="107" t="s">
        <v>56</v>
      </c>
      <c r="B128" s="72" t="s">
        <v>131</v>
      </c>
      <c r="C128" s="72" t="s">
        <v>123</v>
      </c>
      <c r="D128" s="73">
        <v>1057.77072</v>
      </c>
      <c r="E128" s="73">
        <v>527.26931999999999</v>
      </c>
      <c r="F128" s="72" t="s">
        <v>124</v>
      </c>
      <c r="G128" s="73">
        <f t="shared" ref="G128:G135" si="20">E128</f>
        <v>527.26931999999999</v>
      </c>
      <c r="H128" s="73"/>
      <c r="I128" s="72"/>
      <c r="J128" s="15"/>
      <c r="K128" s="45">
        <f>E128</f>
        <v>527.26931999999999</v>
      </c>
    </row>
    <row r="129" spans="1:12" s="6" customFormat="1" x14ac:dyDescent="0.25">
      <c r="A129" s="108"/>
      <c r="B129" s="127" t="s">
        <v>55</v>
      </c>
      <c r="C129" s="127" t="s">
        <v>91</v>
      </c>
      <c r="D129" s="130">
        <v>10530.802799999999</v>
      </c>
      <c r="E129" s="74">
        <v>1765.02</v>
      </c>
      <c r="F129" s="68" t="s">
        <v>157</v>
      </c>
      <c r="G129" s="74">
        <f t="shared" si="20"/>
        <v>1765.02</v>
      </c>
      <c r="H129" s="74"/>
      <c r="I129" s="68"/>
      <c r="J129" s="76"/>
      <c r="K129" s="45">
        <f t="shared" ref="K129:K131" si="21">E129</f>
        <v>1765.02</v>
      </c>
    </row>
    <row r="130" spans="1:12" s="6" customFormat="1" x14ac:dyDescent="0.25">
      <c r="A130" s="108"/>
      <c r="B130" s="129"/>
      <c r="C130" s="129"/>
      <c r="D130" s="124"/>
      <c r="E130" s="74">
        <v>3389.8391999999999</v>
      </c>
      <c r="F130" s="68" t="s">
        <v>158</v>
      </c>
      <c r="G130" s="74">
        <f t="shared" si="20"/>
        <v>3389.8391999999999</v>
      </c>
      <c r="H130" s="74"/>
      <c r="I130" s="68"/>
      <c r="J130" s="76"/>
      <c r="K130" s="45">
        <f t="shared" si="21"/>
        <v>3389.8391999999999</v>
      </c>
    </row>
    <row r="131" spans="1:12" s="1" customFormat="1" ht="28.5" x14ac:dyDescent="0.25">
      <c r="A131" s="108"/>
      <c r="B131" s="127" t="s">
        <v>132</v>
      </c>
      <c r="C131" s="127" t="s">
        <v>125</v>
      </c>
      <c r="D131" s="130">
        <v>20211</v>
      </c>
      <c r="E131" s="74">
        <v>6690.0734700000003</v>
      </c>
      <c r="F131" s="68" t="s">
        <v>126</v>
      </c>
      <c r="G131" s="74">
        <f t="shared" si="20"/>
        <v>6690.0734700000003</v>
      </c>
      <c r="H131" s="74"/>
      <c r="I131" s="68"/>
      <c r="J131" s="76"/>
      <c r="K131" s="45">
        <f t="shared" si="21"/>
        <v>6690.0734700000003</v>
      </c>
    </row>
    <row r="132" spans="1:12" s="1" customFormat="1" ht="28.5" x14ac:dyDescent="0.25">
      <c r="A132" s="108"/>
      <c r="B132" s="129"/>
      <c r="C132" s="129"/>
      <c r="D132" s="124"/>
      <c r="E132" s="74">
        <v>295.517</v>
      </c>
      <c r="F132" s="68" t="s">
        <v>193</v>
      </c>
      <c r="G132" s="74">
        <f t="shared" si="20"/>
        <v>295.517</v>
      </c>
      <c r="H132" s="74">
        <f>J132</f>
        <v>295.51700520000003</v>
      </c>
      <c r="I132" s="68" t="s">
        <v>213</v>
      </c>
      <c r="J132" s="76">
        <f>250438.14*1.18/1000</f>
        <v>295.51700520000003</v>
      </c>
      <c r="L132" s="13">
        <f>G132</f>
        <v>295.517</v>
      </c>
    </row>
    <row r="133" spans="1:12" s="1" customFormat="1" ht="28.5" x14ac:dyDescent="0.25">
      <c r="A133" s="108"/>
      <c r="B133" s="68" t="s">
        <v>133</v>
      </c>
      <c r="C133" s="68" t="s">
        <v>127</v>
      </c>
      <c r="D133" s="74">
        <v>2079</v>
      </c>
      <c r="E133" s="74">
        <v>1975.05</v>
      </c>
      <c r="F133" s="68" t="s">
        <v>128</v>
      </c>
      <c r="G133" s="74">
        <f t="shared" si="20"/>
        <v>1975.05</v>
      </c>
      <c r="H133" s="74"/>
      <c r="I133" s="68"/>
      <c r="J133" s="76"/>
      <c r="K133" s="13">
        <f>E133</f>
        <v>1975.05</v>
      </c>
    </row>
    <row r="134" spans="1:12" s="1" customFormat="1" x14ac:dyDescent="0.25">
      <c r="A134" s="108"/>
      <c r="B134" s="68" t="s">
        <v>129</v>
      </c>
      <c r="C134" s="68"/>
      <c r="D134" s="74"/>
      <c r="E134" s="74">
        <v>103.95</v>
      </c>
      <c r="F134" s="68" t="s">
        <v>206</v>
      </c>
      <c r="G134" s="74">
        <f t="shared" si="20"/>
        <v>103.95</v>
      </c>
      <c r="H134" s="74"/>
      <c r="I134" s="68"/>
      <c r="J134" s="76"/>
      <c r="K134" s="13">
        <f>E134</f>
        <v>103.95</v>
      </c>
    </row>
    <row r="135" spans="1:12" s="1" customFormat="1" ht="28.5" x14ac:dyDescent="0.25">
      <c r="A135" s="108"/>
      <c r="B135" s="127" t="s">
        <v>107</v>
      </c>
      <c r="C135" s="127" t="s">
        <v>130</v>
      </c>
      <c r="D135" s="130">
        <v>2365.4499999999998</v>
      </c>
      <c r="E135" s="74">
        <v>1453.6</v>
      </c>
      <c r="F135" s="68" t="s">
        <v>198</v>
      </c>
      <c r="G135" s="74">
        <f t="shared" si="20"/>
        <v>1453.6</v>
      </c>
      <c r="H135" s="74">
        <f>176.31356*1.18</f>
        <v>208.05000079999999</v>
      </c>
      <c r="I135" s="81" t="s">
        <v>256</v>
      </c>
      <c r="J135" s="76">
        <f>176313.56/1000*1.18</f>
        <v>208.05000079999999</v>
      </c>
      <c r="L135" s="13">
        <f>G135</f>
        <v>1453.6</v>
      </c>
    </row>
    <row r="136" spans="1:12" s="1" customFormat="1" ht="28.5" x14ac:dyDescent="0.25">
      <c r="A136" s="108"/>
      <c r="B136" s="128"/>
      <c r="C136" s="128"/>
      <c r="D136" s="123"/>
      <c r="E136" s="74"/>
      <c r="F136" s="68"/>
      <c r="G136" s="74"/>
      <c r="H136" s="74">
        <f>J136</f>
        <v>469.20000159999995</v>
      </c>
      <c r="I136" s="81" t="s">
        <v>255</v>
      </c>
      <c r="J136" s="76">
        <f>397627.12*1.18/1000</f>
        <v>469.20000159999995</v>
      </c>
    </row>
    <row r="137" spans="1:12" s="1" customFormat="1" ht="28.5" x14ac:dyDescent="0.25">
      <c r="A137" s="108"/>
      <c r="B137" s="129"/>
      <c r="C137" s="129"/>
      <c r="D137" s="124"/>
      <c r="E137" s="74"/>
      <c r="F137" s="68"/>
      <c r="G137" s="74"/>
      <c r="H137" s="74">
        <f>J137</f>
        <v>234.60000079999998</v>
      </c>
      <c r="I137" s="81" t="s">
        <v>254</v>
      </c>
      <c r="J137" s="76">
        <f>198813.56/1000*1.18</f>
        <v>234.60000079999998</v>
      </c>
    </row>
    <row r="138" spans="1:12" s="1" customFormat="1" ht="42.75" x14ac:dyDescent="0.25">
      <c r="A138" s="108"/>
      <c r="B138" s="127" t="s">
        <v>50</v>
      </c>
      <c r="C138" s="127" t="s">
        <v>98</v>
      </c>
      <c r="D138" s="74"/>
      <c r="E138" s="74">
        <f>G138</f>
        <v>702.52059919999999</v>
      </c>
      <c r="F138" s="69" t="s">
        <v>207</v>
      </c>
      <c r="G138" s="74">
        <f>595356.44*1.18/1000</f>
        <v>702.52059919999999</v>
      </c>
      <c r="H138" s="74">
        <f>J138</f>
        <v>171.26588439999998</v>
      </c>
      <c r="I138" s="68" t="s">
        <v>149</v>
      </c>
      <c r="J138" s="76">
        <f>145140.58*1.18/1000</f>
        <v>171.26588439999998</v>
      </c>
    </row>
    <row r="139" spans="1:12" s="1" customFormat="1" ht="28.5" x14ac:dyDescent="0.25">
      <c r="A139" s="108"/>
      <c r="B139" s="128"/>
      <c r="C139" s="128"/>
      <c r="D139" s="74"/>
      <c r="E139" s="74"/>
      <c r="F139" s="68"/>
      <c r="G139" s="74"/>
      <c r="H139" s="74">
        <f>J139</f>
        <v>7.5652396</v>
      </c>
      <c r="I139" s="77" t="s">
        <v>221</v>
      </c>
      <c r="J139" s="76">
        <f>6411.22*1.18/1000</f>
        <v>7.5652396</v>
      </c>
    </row>
    <row r="140" spans="1:12" s="1" customFormat="1" ht="42.75" x14ac:dyDescent="0.25">
      <c r="A140" s="108"/>
      <c r="B140" s="128"/>
      <c r="C140" s="128"/>
      <c r="D140" s="74"/>
      <c r="E140" s="74">
        <f>G140</f>
        <v>171.26588439999998</v>
      </c>
      <c r="F140" s="81" t="s">
        <v>205</v>
      </c>
      <c r="G140" s="74">
        <f>145140.58*1.18/1000</f>
        <v>171.26588439999998</v>
      </c>
      <c r="H140" s="130">
        <f>J140+J141+J142</f>
        <v>336.29027680000002</v>
      </c>
      <c r="I140" s="127" t="s">
        <v>221</v>
      </c>
      <c r="J140" s="76">
        <f>65024.44*1.18/1000</f>
        <v>76.728839199999996</v>
      </c>
    </row>
    <row r="141" spans="1:12" s="1" customFormat="1" x14ac:dyDescent="0.25">
      <c r="A141" s="108"/>
      <c r="B141" s="128"/>
      <c r="C141" s="128"/>
      <c r="D141" s="74"/>
      <c r="E141" s="74"/>
      <c r="F141" s="68"/>
      <c r="G141" s="74"/>
      <c r="H141" s="123"/>
      <c r="I141" s="128"/>
      <c r="J141" s="76">
        <f>146644.88*1.18/1000</f>
        <v>173.04095839999999</v>
      </c>
    </row>
    <row r="142" spans="1:12" s="1" customFormat="1" x14ac:dyDescent="0.25">
      <c r="A142" s="108"/>
      <c r="B142" s="129"/>
      <c r="C142" s="129"/>
      <c r="D142" s="74"/>
      <c r="E142" s="74"/>
      <c r="F142" s="68"/>
      <c r="G142" s="74"/>
      <c r="H142" s="124"/>
      <c r="I142" s="129"/>
      <c r="J142" s="76">
        <f>73322.44*1.18/1000</f>
        <v>86.520479199999997</v>
      </c>
    </row>
    <row r="143" spans="1:12" s="6" customFormat="1" ht="57" x14ac:dyDescent="0.25">
      <c r="A143" s="108"/>
      <c r="B143" s="131" t="s">
        <v>99</v>
      </c>
      <c r="C143" s="132"/>
      <c r="D143" s="133"/>
      <c r="E143" s="74"/>
      <c r="F143" s="31"/>
      <c r="G143" s="74"/>
      <c r="H143" s="74">
        <f>J143</f>
        <v>108.0165038</v>
      </c>
      <c r="I143" s="31" t="s">
        <v>237</v>
      </c>
      <c r="J143" s="76">
        <f>91539.41*1.18/1000</f>
        <v>108.0165038</v>
      </c>
    </row>
    <row r="144" spans="1:12" s="6" customFormat="1" x14ac:dyDescent="0.25">
      <c r="A144" s="108"/>
      <c r="B144" s="131" t="s">
        <v>118</v>
      </c>
      <c r="C144" s="132"/>
      <c r="D144" s="133"/>
      <c r="E144" s="74">
        <f>76.28/1000</f>
        <v>7.6280000000000001E-2</v>
      </c>
      <c r="F144" s="68"/>
      <c r="G144" s="74">
        <f>E144</f>
        <v>7.6280000000000001E-2</v>
      </c>
      <c r="H144" s="74">
        <f>76.28/1000</f>
        <v>7.6280000000000001E-2</v>
      </c>
      <c r="I144" s="68"/>
      <c r="J144" s="76">
        <f>H144</f>
        <v>7.6280000000000001E-2</v>
      </c>
      <c r="L144" s="45">
        <f>G144</f>
        <v>7.6280000000000001E-2</v>
      </c>
    </row>
    <row r="145" spans="1:12" s="6" customFormat="1" ht="15.75" thickBot="1" x14ac:dyDescent="0.3">
      <c r="A145" s="109"/>
      <c r="B145" s="134" t="s">
        <v>136</v>
      </c>
      <c r="C145" s="135"/>
      <c r="D145" s="136"/>
      <c r="E145" s="84">
        <f>2364.63/1000</f>
        <v>2.36463</v>
      </c>
      <c r="F145" s="67"/>
      <c r="G145" s="84">
        <f>E145</f>
        <v>2.36463</v>
      </c>
      <c r="H145" s="84">
        <f>2364.63/1000</f>
        <v>2.36463</v>
      </c>
      <c r="I145" s="67"/>
      <c r="J145" s="89">
        <f>H145</f>
        <v>2.36463</v>
      </c>
    </row>
    <row r="146" spans="1:12" s="6" customFormat="1" x14ac:dyDescent="0.25">
      <c r="A146" s="108" t="s">
        <v>65</v>
      </c>
      <c r="B146" s="121" t="s">
        <v>112</v>
      </c>
      <c r="C146" s="121" t="s">
        <v>111</v>
      </c>
      <c r="D146" s="123">
        <v>123.27682</v>
      </c>
      <c r="E146" s="71">
        <f>G146</f>
        <v>31.99437</v>
      </c>
      <c r="F146" s="71" t="s">
        <v>175</v>
      </c>
      <c r="G146" s="71">
        <v>31.99437</v>
      </c>
      <c r="H146" s="71"/>
      <c r="I146" s="71"/>
      <c r="J146" s="71"/>
      <c r="K146" s="45">
        <f>E146</f>
        <v>31.99437</v>
      </c>
    </row>
    <row r="147" spans="1:12" s="6" customFormat="1" x14ac:dyDescent="0.25">
      <c r="A147" s="108"/>
      <c r="B147" s="122"/>
      <c r="C147" s="122"/>
      <c r="D147" s="124"/>
      <c r="E147" s="74">
        <f>G147</f>
        <v>91.282449999999997</v>
      </c>
      <c r="F147" s="74" t="s">
        <v>176</v>
      </c>
      <c r="G147" s="74">
        <f>91282.45/1000</f>
        <v>91.282449999999997</v>
      </c>
      <c r="H147" s="74"/>
      <c r="I147" s="74"/>
      <c r="J147" s="74"/>
      <c r="K147" s="45">
        <f>E147</f>
        <v>91.282449999999997</v>
      </c>
    </row>
    <row r="148" spans="1:12" s="6" customFormat="1" ht="29.25" thickBot="1" x14ac:dyDescent="0.3">
      <c r="A148" s="109"/>
      <c r="B148" s="97" t="s">
        <v>122</v>
      </c>
      <c r="C148" s="97" t="s">
        <v>144</v>
      </c>
      <c r="D148" s="84">
        <v>1780</v>
      </c>
      <c r="E148" s="84">
        <v>1780.0000044000001</v>
      </c>
      <c r="F148" s="84" t="s">
        <v>143</v>
      </c>
      <c r="G148" s="84">
        <f>E148</f>
        <v>1780.0000044000001</v>
      </c>
      <c r="H148" s="74">
        <v>1780.0000044000001</v>
      </c>
      <c r="I148" s="68" t="s">
        <v>214</v>
      </c>
      <c r="J148" s="74">
        <f>1508474.58*1.18/1000</f>
        <v>1780.0000044000001</v>
      </c>
    </row>
    <row r="149" spans="1:12" s="6" customFormat="1" ht="15.75" thickBot="1" x14ac:dyDescent="0.3">
      <c r="A149" s="17" t="s">
        <v>27</v>
      </c>
      <c r="B149" s="47"/>
      <c r="C149" s="47"/>
      <c r="D149" s="47"/>
      <c r="E149" s="19">
        <f>SUM(E48:E148)</f>
        <v>235307.05667119991</v>
      </c>
      <c r="F149" s="19"/>
      <c r="G149" s="19">
        <f>SUM(G48:G148)</f>
        <v>235307.05667119991</v>
      </c>
      <c r="H149" s="19">
        <f>SUM(H48:H148)</f>
        <v>103877.63875479996</v>
      </c>
      <c r="I149" s="19"/>
      <c r="J149" s="19">
        <f>SUM(J48:J148)</f>
        <v>103877.63875519999</v>
      </c>
    </row>
    <row r="150" spans="1:12" s="6" customFormat="1" ht="30.75" thickBot="1" x14ac:dyDescent="0.3">
      <c r="A150" s="17" t="s">
        <v>28</v>
      </c>
      <c r="B150" s="18"/>
      <c r="C150" s="18"/>
      <c r="D150" s="18"/>
      <c r="E150" s="19">
        <f>2039.62227848523*3</f>
        <v>6118.8668354556903</v>
      </c>
      <c r="F150" s="16"/>
      <c r="G150" s="19">
        <f>2039.62227848523*3</f>
        <v>6118.8668354556903</v>
      </c>
      <c r="H150" s="19">
        <f>2039.62227848523*3</f>
        <v>6118.8668354556903</v>
      </c>
      <c r="I150" s="16"/>
      <c r="J150" s="19">
        <f>2039.62227848523*3</f>
        <v>6118.8668354556903</v>
      </c>
      <c r="K150" s="6">
        <v>2039.62227848523</v>
      </c>
      <c r="L150" s="6">
        <v>2039.6222784852266</v>
      </c>
    </row>
    <row r="151" spans="1:12" s="6" customFormat="1" ht="30.75" thickBot="1" x14ac:dyDescent="0.3">
      <c r="A151" s="17" t="s">
        <v>29</v>
      </c>
      <c r="B151" s="18"/>
      <c r="C151" s="18"/>
      <c r="D151" s="18"/>
      <c r="E151" s="19">
        <f>E149+E150</f>
        <v>241425.92350665561</v>
      </c>
      <c r="F151" s="16"/>
      <c r="G151" s="19">
        <f>G149+G150</f>
        <v>241425.92350665561</v>
      </c>
      <c r="H151" s="19">
        <f>H149+H150</f>
        <v>109996.50559025565</v>
      </c>
      <c r="I151" s="16"/>
      <c r="J151" s="19">
        <f>J149+J150</f>
        <v>109996.50559065568</v>
      </c>
      <c r="K151" s="45">
        <f>SUM(K48:K150)</f>
        <v>110078.31636268525</v>
      </c>
      <c r="L151" s="6">
        <f>SUM(L48:L150)</f>
        <v>108711.03513848523</v>
      </c>
    </row>
    <row r="152" spans="1:12" s="6" customFormat="1" ht="45.75" thickBot="1" x14ac:dyDescent="0.3">
      <c r="A152" s="17" t="s">
        <v>30</v>
      </c>
      <c r="B152" s="18"/>
      <c r="C152" s="18"/>
      <c r="D152" s="18"/>
      <c r="E152" s="19">
        <f>E46+E151</f>
        <v>262016.34322553061</v>
      </c>
      <c r="F152" s="16"/>
      <c r="G152" s="19">
        <f>G46+G151</f>
        <v>262016.34322553061</v>
      </c>
      <c r="H152" s="19">
        <f>H46+H151</f>
        <v>144149.18392793066</v>
      </c>
      <c r="I152" s="16"/>
      <c r="J152" s="19">
        <f>J46+J151</f>
        <v>144149.18392833066</v>
      </c>
      <c r="K152" s="45">
        <f>K151+K47</f>
        <v>120763.36421357692</v>
      </c>
      <c r="L152" s="6">
        <f>L151+L46</f>
        <v>111624.31641937689</v>
      </c>
    </row>
    <row r="153" spans="1:12" s="6" customFormat="1" x14ac:dyDescent="0.25">
      <c r="A153" s="22"/>
      <c r="B153" s="22"/>
      <c r="C153" s="22"/>
      <c r="D153" s="22"/>
      <c r="E153" s="23"/>
      <c r="F153" s="24"/>
      <c r="G153" s="23"/>
      <c r="H153" s="33"/>
      <c r="I153" s="24"/>
      <c r="J153" s="23"/>
      <c r="K153" s="6">
        <v>120763.36421357701</v>
      </c>
      <c r="L153" s="6">
        <v>111624.31641937701</v>
      </c>
    </row>
    <row r="154" spans="1:12" x14ac:dyDescent="0.25">
      <c r="B154" s="22"/>
      <c r="C154" s="22"/>
      <c r="D154" s="22"/>
      <c r="E154" s="13"/>
      <c r="F154" s="24"/>
      <c r="G154" s="23"/>
      <c r="H154" s="23"/>
      <c r="I154" s="24"/>
      <c r="J154" s="23"/>
      <c r="K154" s="36">
        <f>K153-K152</f>
        <v>0</v>
      </c>
      <c r="L154" s="36">
        <f t="shared" ref="L154" si="22">L153-L152</f>
        <v>1.1641532182693481E-10</v>
      </c>
    </row>
    <row r="155" spans="1:12" x14ac:dyDescent="0.25">
      <c r="A155" s="50" t="s">
        <v>64</v>
      </c>
      <c r="E155" s="5"/>
      <c r="H155" s="13"/>
    </row>
    <row r="156" spans="1:12" x14ac:dyDescent="0.25">
      <c r="A156" s="51" t="s">
        <v>31</v>
      </c>
      <c r="B156" s="50"/>
      <c r="C156" s="50"/>
      <c r="D156" s="125"/>
      <c r="E156" s="126"/>
      <c r="H156" s="30"/>
    </row>
    <row r="157" spans="1:12" x14ac:dyDescent="0.25">
      <c r="A157" s="50" t="s">
        <v>32</v>
      </c>
      <c r="B157" s="51"/>
      <c r="C157" s="51"/>
      <c r="D157" s="115"/>
      <c r="E157" s="115"/>
    </row>
    <row r="158" spans="1:12" ht="15.75" thickBot="1" x14ac:dyDescent="0.3">
      <c r="A158" s="52"/>
      <c r="B158" s="51"/>
      <c r="C158" s="51"/>
      <c r="D158" s="51"/>
      <c r="E158" s="53"/>
      <c r="G158" s="12"/>
    </row>
    <row r="159" spans="1:12" ht="15.75" thickBot="1" x14ac:dyDescent="0.3">
      <c r="A159" s="54" t="s">
        <v>33</v>
      </c>
      <c r="B159" s="52"/>
      <c r="C159" s="116"/>
      <c r="D159" s="116"/>
      <c r="E159" s="53"/>
      <c r="F159"/>
      <c r="G159"/>
      <c r="H159"/>
    </row>
    <row r="160" spans="1:12" ht="15.75" thickBot="1" x14ac:dyDescent="0.3">
      <c r="A160" s="55"/>
      <c r="B160" s="56" t="s">
        <v>34</v>
      </c>
      <c r="C160" s="117" t="s">
        <v>35</v>
      </c>
      <c r="D160" s="118"/>
      <c r="E160" s="53"/>
      <c r="F160"/>
      <c r="G160"/>
      <c r="H160"/>
    </row>
    <row r="161" spans="1:10" ht="29.25" thickBot="1" x14ac:dyDescent="0.3">
      <c r="A161" s="57" t="s">
        <v>36</v>
      </c>
      <c r="B161" s="64">
        <v>144149.18</v>
      </c>
      <c r="C161" s="119">
        <v>262016.34</v>
      </c>
      <c r="D161" s="120"/>
      <c r="E161" s="53"/>
      <c r="F161"/>
      <c r="G161"/>
      <c r="H161"/>
    </row>
    <row r="162" spans="1:10" ht="15.75" thickBot="1" x14ac:dyDescent="0.3">
      <c r="A162" s="57" t="s">
        <v>37</v>
      </c>
      <c r="B162" s="58">
        <v>190197.93</v>
      </c>
      <c r="C162" s="111">
        <v>190197.93</v>
      </c>
      <c r="D162" s="112"/>
      <c r="E162" s="59"/>
      <c r="F162"/>
      <c r="G162"/>
      <c r="H162"/>
      <c r="I162" s="25"/>
      <c r="J162" s="26"/>
    </row>
    <row r="163" spans="1:10" ht="29.25" thickBot="1" x14ac:dyDescent="0.3">
      <c r="A163" s="57" t="s">
        <v>38</v>
      </c>
      <c r="B163" s="58">
        <v>24723.91</v>
      </c>
      <c r="C163" s="111">
        <v>24051.49</v>
      </c>
      <c r="D163" s="112"/>
      <c r="E163" s="59"/>
      <c r="F163"/>
      <c r="G163"/>
      <c r="H163"/>
      <c r="I163" s="25"/>
      <c r="J163" s="26"/>
    </row>
    <row r="164" spans="1:10" ht="15.75" thickBot="1" x14ac:dyDescent="0.3">
      <c r="A164" s="60" t="s">
        <v>39</v>
      </c>
      <c r="B164" s="58">
        <v>1044.01</v>
      </c>
      <c r="C164" s="111">
        <v>971.78</v>
      </c>
      <c r="D164" s="112"/>
      <c r="E164" s="59"/>
      <c r="F164"/>
      <c r="G164"/>
      <c r="H164"/>
      <c r="I164" s="25"/>
      <c r="J164" s="26"/>
    </row>
    <row r="165" spans="1:10" ht="15.75" thickBot="1" x14ac:dyDescent="0.3">
      <c r="A165" s="60" t="s">
        <v>40</v>
      </c>
      <c r="B165" s="61">
        <v>23679.89</v>
      </c>
      <c r="C165" s="113">
        <v>23079.71</v>
      </c>
      <c r="D165" s="114"/>
      <c r="E165" s="59"/>
      <c r="F165"/>
      <c r="G165"/>
      <c r="H165"/>
      <c r="I165" s="25"/>
      <c r="J165" s="26"/>
    </row>
    <row r="166" spans="1:10" ht="72" thickBot="1" x14ac:dyDescent="0.3">
      <c r="A166" s="57" t="s">
        <v>44</v>
      </c>
      <c r="B166" s="61">
        <v>108225.35</v>
      </c>
      <c r="C166" s="113">
        <v>104691.11</v>
      </c>
      <c r="D166" s="114"/>
      <c r="E166" s="59"/>
      <c r="F166"/>
      <c r="G166"/>
      <c r="H166"/>
      <c r="I166" s="25"/>
      <c r="J166" s="26"/>
    </row>
    <row r="167" spans="1:10" ht="15.75" thickBot="1" x14ac:dyDescent="0.3">
      <c r="A167" s="57" t="s">
        <v>235</v>
      </c>
      <c r="B167" s="62">
        <v>2546.14</v>
      </c>
      <c r="C167" s="111">
        <v>2546.14</v>
      </c>
      <c r="D167" s="112"/>
      <c r="E167" s="59"/>
      <c r="F167"/>
      <c r="G167"/>
      <c r="H167"/>
      <c r="I167" s="25"/>
      <c r="J167" s="26"/>
    </row>
    <row r="168" spans="1:10" ht="43.5" thickBot="1" x14ac:dyDescent="0.3">
      <c r="A168" s="57" t="s">
        <v>41</v>
      </c>
      <c r="B168" s="58">
        <v>-4695.57</v>
      </c>
      <c r="C168" s="111">
        <v>-31607.18</v>
      </c>
      <c r="D168" s="112"/>
      <c r="E168" s="59"/>
      <c r="F168"/>
      <c r="G168"/>
      <c r="H168"/>
      <c r="I168" s="25"/>
      <c r="J168" s="26"/>
    </row>
    <row r="169" spans="1:10" ht="29.25" thickBot="1" x14ac:dyDescent="0.3">
      <c r="A169" s="60" t="s">
        <v>42</v>
      </c>
      <c r="B169" s="58">
        <v>21204.52</v>
      </c>
      <c r="C169" s="111">
        <v>48116.13</v>
      </c>
      <c r="D169" s="112"/>
      <c r="E169" s="59"/>
      <c r="F169"/>
      <c r="G169"/>
      <c r="H169"/>
      <c r="I169" s="25"/>
      <c r="J169" s="26"/>
    </row>
    <row r="170" spans="1:10" ht="15.75" thickBot="1" x14ac:dyDescent="0.3">
      <c r="A170" s="60" t="s">
        <v>43</v>
      </c>
      <c r="B170" s="58">
        <v>16508.95</v>
      </c>
      <c r="C170" s="111">
        <v>16508.95</v>
      </c>
      <c r="D170" s="112"/>
      <c r="E170" s="59"/>
      <c r="F170"/>
      <c r="G170"/>
      <c r="H170"/>
      <c r="I170" s="25"/>
      <c r="J170" s="26"/>
    </row>
    <row r="171" spans="1:10" x14ac:dyDescent="0.25">
      <c r="A171" s="1"/>
      <c r="B171" s="63"/>
      <c r="C171" s="110"/>
      <c r="D171" s="110"/>
      <c r="E171" s="59"/>
      <c r="F171"/>
      <c r="G171"/>
      <c r="H171"/>
      <c r="I171" s="25"/>
      <c r="J171" s="26"/>
    </row>
    <row r="172" spans="1:10" x14ac:dyDescent="0.25">
      <c r="A172" s="1"/>
      <c r="B172" s="65"/>
      <c r="C172" s="65"/>
      <c r="D172" s="65"/>
      <c r="E172" s="59"/>
      <c r="F172"/>
      <c r="G172"/>
      <c r="H172"/>
      <c r="I172" s="25"/>
      <c r="J172" s="26"/>
    </row>
    <row r="173" spans="1:10" x14ac:dyDescent="0.25">
      <c r="B173" s="13"/>
      <c r="D173" s="13"/>
      <c r="E173" s="25"/>
      <c r="F173"/>
      <c r="G173"/>
      <c r="H173"/>
      <c r="I173" s="25"/>
      <c r="J173" s="26"/>
    </row>
    <row r="174" spans="1:10" x14ac:dyDescent="0.25">
      <c r="B174" s="13"/>
      <c r="D174" s="13"/>
      <c r="E174" s="25"/>
      <c r="F174"/>
      <c r="G174"/>
      <c r="H174"/>
      <c r="I174" s="25"/>
      <c r="J174" s="26"/>
    </row>
    <row r="175" spans="1:10" x14ac:dyDescent="0.25">
      <c r="B175" s="13"/>
      <c r="D175" s="13"/>
      <c r="E175" s="25"/>
      <c r="F175"/>
      <c r="G175"/>
      <c r="H175"/>
      <c r="I175" s="25"/>
      <c r="J175" s="26"/>
    </row>
    <row r="176" spans="1:10" x14ac:dyDescent="0.25">
      <c r="A176" s="27" t="s">
        <v>45</v>
      </c>
      <c r="E176" s="25"/>
      <c r="F176"/>
      <c r="G176"/>
      <c r="H176"/>
      <c r="I176" s="25"/>
    </row>
    <row r="177" spans="1:10" x14ac:dyDescent="0.25">
      <c r="A177" s="27"/>
      <c r="B177" s="28"/>
      <c r="C177" s="26"/>
      <c r="D177" s="26"/>
      <c r="E177" s="29" t="s">
        <v>46</v>
      </c>
      <c r="F177"/>
      <c r="G177"/>
      <c r="H177"/>
      <c r="J177" s="1"/>
    </row>
    <row r="178" spans="1:10" x14ac:dyDescent="0.25">
      <c r="A178" s="27"/>
      <c r="B178" s="29"/>
      <c r="C178" s="29"/>
      <c r="F178"/>
      <c r="G178"/>
      <c r="H178"/>
      <c r="J178" s="1"/>
    </row>
    <row r="179" spans="1:10" x14ac:dyDescent="0.25">
      <c r="A179" s="27"/>
      <c r="B179" s="29"/>
      <c r="C179" s="29"/>
      <c r="F179"/>
      <c r="G179"/>
      <c r="H179"/>
      <c r="J179" s="1"/>
    </row>
    <row r="180" spans="1:10" x14ac:dyDescent="0.25">
      <c r="A180" s="27"/>
      <c r="B180" s="29"/>
      <c r="C180" s="29"/>
      <c r="F180"/>
      <c r="G180"/>
      <c r="H180"/>
      <c r="J180" s="1"/>
    </row>
    <row r="181" spans="1:10" x14ac:dyDescent="0.25">
      <c r="A181" s="27"/>
      <c r="B181" s="29"/>
      <c r="C181" s="29"/>
      <c r="F181"/>
      <c r="G181"/>
      <c r="H181"/>
      <c r="J181" s="1"/>
    </row>
    <row r="182" spans="1:10" x14ac:dyDescent="0.25">
      <c r="A182" s="27" t="s">
        <v>47</v>
      </c>
      <c r="B182" s="29"/>
      <c r="C182" s="29"/>
      <c r="E182" s="29" t="s">
        <v>48</v>
      </c>
      <c r="F182"/>
      <c r="G182"/>
      <c r="H182"/>
      <c r="J182" s="1"/>
    </row>
    <row r="183" spans="1:10" x14ac:dyDescent="0.25">
      <c r="B183" s="29"/>
      <c r="C183" s="26"/>
      <c r="D183" s="26"/>
      <c r="F183"/>
      <c r="G183"/>
      <c r="H183"/>
      <c r="J183" s="1"/>
    </row>
    <row r="184" spans="1:10" x14ac:dyDescent="0.25">
      <c r="F184"/>
      <c r="G184"/>
      <c r="H184"/>
    </row>
    <row r="185" spans="1:10" x14ac:dyDescent="0.25">
      <c r="F185"/>
      <c r="G185"/>
      <c r="H185"/>
    </row>
  </sheetData>
  <mergeCells count="168"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A8:J8"/>
    <mergeCell ref="A9:A26"/>
    <mergeCell ref="B9:B10"/>
    <mergeCell ref="C9:C10"/>
    <mergeCell ref="D9:D10"/>
    <mergeCell ref="E9:E10"/>
    <mergeCell ref="F9:F10"/>
    <mergeCell ref="G9:G10"/>
    <mergeCell ref="H9:H10"/>
    <mergeCell ref="I9:I10"/>
    <mergeCell ref="B14:B17"/>
    <mergeCell ref="C14:C17"/>
    <mergeCell ref="D14:D17"/>
    <mergeCell ref="J9:J10"/>
    <mergeCell ref="B12:B13"/>
    <mergeCell ref="C12:C13"/>
    <mergeCell ref="D12:D13"/>
    <mergeCell ref="E12:E13"/>
    <mergeCell ref="F12:F13"/>
    <mergeCell ref="G12:G13"/>
    <mergeCell ref="H12:H13"/>
    <mergeCell ref="I21:I22"/>
    <mergeCell ref="B24:D24"/>
    <mergeCell ref="B25:C25"/>
    <mergeCell ref="B26:C26"/>
    <mergeCell ref="A27:A38"/>
    <mergeCell ref="B32:B34"/>
    <mergeCell ref="C32:C34"/>
    <mergeCell ref="D32:D34"/>
    <mergeCell ref="B35:B37"/>
    <mergeCell ref="C35:C37"/>
    <mergeCell ref="D35:D37"/>
    <mergeCell ref="B38:D38"/>
    <mergeCell ref="E42:E43"/>
    <mergeCell ref="A48:A53"/>
    <mergeCell ref="B51:C51"/>
    <mergeCell ref="B52:C52"/>
    <mergeCell ref="B53:C53"/>
    <mergeCell ref="B55:B57"/>
    <mergeCell ref="C55:C57"/>
    <mergeCell ref="D55:D57"/>
    <mergeCell ref="B58:B60"/>
    <mergeCell ref="A39:A43"/>
    <mergeCell ref="B39:B41"/>
    <mergeCell ref="C39:C41"/>
    <mergeCell ref="D39:D41"/>
    <mergeCell ref="B42:B43"/>
    <mergeCell ref="C42:C43"/>
    <mergeCell ref="D42:D43"/>
    <mergeCell ref="C58:C60"/>
    <mergeCell ref="D58:D60"/>
    <mergeCell ref="I61:I63"/>
    <mergeCell ref="H64:H66"/>
    <mergeCell ref="I64:I66"/>
    <mergeCell ref="H67:H68"/>
    <mergeCell ref="I67:I68"/>
    <mergeCell ref="B69:B74"/>
    <mergeCell ref="C69:C74"/>
    <mergeCell ref="D69:D74"/>
    <mergeCell ref="H71:H74"/>
    <mergeCell ref="I71:I74"/>
    <mergeCell ref="B61:B68"/>
    <mergeCell ref="C61:C68"/>
    <mergeCell ref="D61:D68"/>
    <mergeCell ref="H61:H63"/>
    <mergeCell ref="B98:B99"/>
    <mergeCell ref="C98:C99"/>
    <mergeCell ref="D98:D99"/>
    <mergeCell ref="B100:B101"/>
    <mergeCell ref="C100:C101"/>
    <mergeCell ref="D100:D101"/>
    <mergeCell ref="D85:D87"/>
    <mergeCell ref="B88:D88"/>
    <mergeCell ref="B89:D89"/>
    <mergeCell ref="B90:D90"/>
    <mergeCell ref="B93:B94"/>
    <mergeCell ref="C93:C94"/>
    <mergeCell ref="D93:D94"/>
    <mergeCell ref="B95:B96"/>
    <mergeCell ref="C95:C96"/>
    <mergeCell ref="B80:C80"/>
    <mergeCell ref="B81:C81"/>
    <mergeCell ref="A82:A83"/>
    <mergeCell ref="A85:A90"/>
    <mergeCell ref="B85:B87"/>
    <mergeCell ref="C85:C87"/>
    <mergeCell ref="D95:D96"/>
    <mergeCell ref="C108:C109"/>
    <mergeCell ref="D108:D109"/>
    <mergeCell ref="B111:B114"/>
    <mergeCell ref="C111:C114"/>
    <mergeCell ref="D111:D114"/>
    <mergeCell ref="B102:B104"/>
    <mergeCell ref="C102:C104"/>
    <mergeCell ref="D102:D104"/>
    <mergeCell ref="B105:B107"/>
    <mergeCell ref="C105:C107"/>
    <mergeCell ref="D105:D107"/>
    <mergeCell ref="B108:B109"/>
    <mergeCell ref="F119:F120"/>
    <mergeCell ref="H121:H122"/>
    <mergeCell ref="I121:I122"/>
    <mergeCell ref="H123:H125"/>
    <mergeCell ref="I123:I125"/>
    <mergeCell ref="B127:D127"/>
    <mergeCell ref="H111:H112"/>
    <mergeCell ref="I111:I112"/>
    <mergeCell ref="B116:B117"/>
    <mergeCell ref="C116:C117"/>
    <mergeCell ref="D116:D117"/>
    <mergeCell ref="B118:B126"/>
    <mergeCell ref="C118:C126"/>
    <mergeCell ref="D118:D126"/>
    <mergeCell ref="I118:I119"/>
    <mergeCell ref="E119:E120"/>
    <mergeCell ref="D156:E156"/>
    <mergeCell ref="B138:B142"/>
    <mergeCell ref="C138:C142"/>
    <mergeCell ref="H140:H142"/>
    <mergeCell ref="C170:D170"/>
    <mergeCell ref="I140:I142"/>
    <mergeCell ref="B143:D143"/>
    <mergeCell ref="B144:D144"/>
    <mergeCell ref="A128:A145"/>
    <mergeCell ref="B129:B130"/>
    <mergeCell ref="C129:C130"/>
    <mergeCell ref="D129:D130"/>
    <mergeCell ref="B131:B132"/>
    <mergeCell ref="C131:C132"/>
    <mergeCell ref="D131:D132"/>
    <mergeCell ref="B135:B137"/>
    <mergeCell ref="C135:C137"/>
    <mergeCell ref="D135:D137"/>
    <mergeCell ref="B145:D145"/>
    <mergeCell ref="B18:B22"/>
    <mergeCell ref="C18:C22"/>
    <mergeCell ref="D18:D22"/>
    <mergeCell ref="A54:A57"/>
    <mergeCell ref="A58:A81"/>
    <mergeCell ref="A92:A117"/>
    <mergeCell ref="A118:A127"/>
    <mergeCell ref="C171:D171"/>
    <mergeCell ref="C164:D164"/>
    <mergeCell ref="C165:D165"/>
    <mergeCell ref="C166:D166"/>
    <mergeCell ref="C167:D167"/>
    <mergeCell ref="C168:D168"/>
    <mergeCell ref="C169:D169"/>
    <mergeCell ref="D157:E157"/>
    <mergeCell ref="C159:D159"/>
    <mergeCell ref="C160:D160"/>
    <mergeCell ref="C161:D161"/>
    <mergeCell ref="C162:D162"/>
    <mergeCell ref="C163:D163"/>
    <mergeCell ref="A146:A148"/>
    <mergeCell ref="B146:B147"/>
    <mergeCell ref="C146:C147"/>
    <mergeCell ref="D146:D147"/>
  </mergeCells>
  <pageMargins left="0" right="0" top="0" bottom="0" header="0" footer="0"/>
  <pageSetup paperSize="9" scale="48" fitToHeight="0" orientation="portrait" r:id="rId1"/>
  <rowBreaks count="2" manualBreakCount="2">
    <brk id="57" max="9" man="1"/>
    <brk id="11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печать</vt:lpstr>
      <vt:lpstr>печать!Заголовки_для_печати</vt:lpstr>
      <vt:lpstr>печать!Область_печати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2018-04-26T06:42:09Z</dcterms:modified>
</cp:coreProperties>
</file>