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125" windowWidth="19005" windowHeight="10680" activeTab="1"/>
  </bookViews>
  <sheets>
    <sheet name="для Пономарева " sheetId="7" r:id="rId1"/>
    <sheet name="9 месяцев" sheetId="6" r:id="rId2"/>
    <sheet name="янв-июнь 17 с РЗЗ для Админ (2)" sheetId="5" r:id="rId3"/>
    <sheet name="янв-май17 с РЗЗ для Админ" sheetId="4" r:id="rId4"/>
    <sheet name="Лист1" sheetId="1" r:id="rId5"/>
    <sheet name="Лист2" sheetId="2" r:id="rId6"/>
    <sheet name="Лист3" sheetId="3" r:id="rId7"/>
  </sheets>
  <definedNames>
    <definedName name="_xlnm._FilterDatabase" localSheetId="1" hidden="1">'9 месяцев'!$A$8:$M$8</definedName>
    <definedName name="_xlnm._FilterDatabase" localSheetId="0" hidden="1">'для Пономарева '!$A$8:$J$8</definedName>
    <definedName name="_xlnm._FilterDatabase" localSheetId="2" hidden="1">'янв-июнь 17 с РЗЗ для Админ (2)'!$A$7:$J$109</definedName>
    <definedName name="_xlnm._FilterDatabase" localSheetId="3" hidden="1">'янв-май17 с РЗЗ для Админ'!$A$7:$N$100</definedName>
    <definedName name="_xlnm.Print_Titles" localSheetId="1">'9 месяцев'!$A:$J,'9 месяцев'!$6:$7</definedName>
    <definedName name="_xlnm.Print_Titles" localSheetId="0">'для Пономарева '!$A:$J,'для Пономарева '!$6:$7</definedName>
    <definedName name="_xlnm.Print_Titles" localSheetId="2">'янв-июнь 17 с РЗЗ для Админ (2)'!$A:$J,'янв-июнь 17 с РЗЗ для Админ (2)'!$6:$7</definedName>
    <definedName name="_xlnm.Print_Titles" localSheetId="3">'янв-май17 с РЗЗ для Админ'!$B:$K,'янв-май17 с РЗЗ для Админ'!$6:$7</definedName>
    <definedName name="_xlnm.Print_Area" localSheetId="1">'9 месяцев'!$A$2:$J$189</definedName>
    <definedName name="_xlnm.Print_Area" localSheetId="0">'для Пономарева '!$A$2:$J$181</definedName>
    <definedName name="_xlnm.Print_Area" localSheetId="2">'янв-июнь 17 с РЗЗ для Админ (2)'!$A$2:$J$133</definedName>
    <definedName name="_xlnm.Print_Area" localSheetId="3">'янв-май17 с РЗЗ для Админ'!$B$2:$K$100</definedName>
  </definedNames>
  <calcPr calcId="145621"/>
</workbook>
</file>

<file path=xl/calcChain.xml><?xml version="1.0" encoding="utf-8"?>
<calcChain xmlns="http://schemas.openxmlformats.org/spreadsheetml/2006/main">
  <c r="H128" i="6" l="1"/>
  <c r="H59" i="6" l="1"/>
  <c r="E94" i="6" l="1"/>
  <c r="L136" i="6"/>
  <c r="L117" i="6"/>
  <c r="M111" i="6"/>
  <c r="L44" i="6"/>
  <c r="L43" i="6"/>
  <c r="L42" i="6"/>
  <c r="E82" i="6"/>
  <c r="E92" i="6"/>
  <c r="E93" i="6"/>
  <c r="E101" i="6"/>
  <c r="E104" i="6"/>
  <c r="E110" i="6"/>
  <c r="E150" i="6"/>
  <c r="D93" i="6"/>
  <c r="E89" i="6"/>
  <c r="E90" i="6"/>
  <c r="E91" i="6"/>
  <c r="D92" i="6"/>
  <c r="L41" i="6" l="1"/>
  <c r="L140" i="6"/>
  <c r="L119" i="6"/>
  <c r="G108" i="6"/>
  <c r="M105" i="6" s="1"/>
  <c r="O106" i="6" l="1"/>
  <c r="G107" i="6" l="1"/>
  <c r="L107" i="6" s="1"/>
  <c r="M104" i="6" l="1"/>
  <c r="E107" i="6"/>
  <c r="D104" i="6" l="1"/>
  <c r="E81" i="6"/>
  <c r="E80" i="6"/>
  <c r="D82" i="6"/>
  <c r="N45" i="7"/>
  <c r="E24" i="6" l="1"/>
  <c r="E25" i="6"/>
  <c r="E27" i="6"/>
  <c r="E112" i="7" l="1"/>
  <c r="H48" i="7"/>
  <c r="E25" i="7"/>
  <c r="E27" i="7" l="1"/>
  <c r="H148" i="7"/>
  <c r="G148" i="7"/>
  <c r="E148" i="7" s="1"/>
  <c r="H146" i="7"/>
  <c r="G146" i="7"/>
  <c r="E146" i="7" s="1"/>
  <c r="G145" i="7"/>
  <c r="H144" i="7"/>
  <c r="G144" i="7"/>
  <c r="J142" i="7"/>
  <c r="H140" i="7" s="1"/>
  <c r="G141" i="7"/>
  <c r="G140" i="7"/>
  <c r="H139" i="7"/>
  <c r="E139" i="7"/>
  <c r="H138" i="7"/>
  <c r="G138" i="7"/>
  <c r="E138" i="7" s="1"/>
  <c r="D138" i="7"/>
  <c r="J133" i="7"/>
  <c r="G133" i="7"/>
  <c r="J132" i="7"/>
  <c r="G132" i="7"/>
  <c r="J122" i="7"/>
  <c r="H121" i="7" s="1"/>
  <c r="G122" i="7"/>
  <c r="J121" i="7"/>
  <c r="G121" i="7"/>
  <c r="H117" i="7"/>
  <c r="E117" i="7"/>
  <c r="D117" i="7"/>
  <c r="H116" i="7"/>
  <c r="E116" i="7"/>
  <c r="H115" i="7"/>
  <c r="E115" i="7"/>
  <c r="H114" i="7"/>
  <c r="E114" i="7"/>
  <c r="J113" i="7"/>
  <c r="H113" i="7" s="1"/>
  <c r="G113" i="7"/>
  <c r="E113" i="7"/>
  <c r="J106" i="7"/>
  <c r="G104" i="7"/>
  <c r="G103" i="7"/>
  <c r="J100" i="7"/>
  <c r="J99" i="7"/>
  <c r="J98" i="7"/>
  <c r="D98" i="7"/>
  <c r="H97" i="7"/>
  <c r="E97" i="7"/>
  <c r="H96" i="7"/>
  <c r="E96" i="7"/>
  <c r="H95" i="7"/>
  <c r="E95" i="7"/>
  <c r="D95" i="7"/>
  <c r="H94" i="7"/>
  <c r="E94" i="7"/>
  <c r="H93" i="7"/>
  <c r="G93" i="7"/>
  <c r="H92" i="7"/>
  <c r="G92" i="7"/>
  <c r="E91" i="7" s="1"/>
  <c r="H91" i="7"/>
  <c r="G91" i="7"/>
  <c r="D91" i="7"/>
  <c r="H90" i="7"/>
  <c r="G90" i="7"/>
  <c r="E90" i="7" s="1"/>
  <c r="D90" i="7"/>
  <c r="H89" i="7"/>
  <c r="E89" i="7"/>
  <c r="D89" i="7"/>
  <c r="H88" i="7"/>
  <c r="D88" i="7"/>
  <c r="H87" i="7"/>
  <c r="D87" i="7"/>
  <c r="H86" i="7"/>
  <c r="D86" i="7"/>
  <c r="H85" i="7"/>
  <c r="G85" i="7"/>
  <c r="E85" i="7" s="1"/>
  <c r="D85" i="7"/>
  <c r="J84" i="7"/>
  <c r="H84" i="7" s="1"/>
  <c r="G84" i="7"/>
  <c r="E84" i="7" s="1"/>
  <c r="J83" i="7"/>
  <c r="H83" i="7" s="1"/>
  <c r="E83" i="7"/>
  <c r="J82" i="7"/>
  <c r="G82" i="7"/>
  <c r="E80" i="7" s="1"/>
  <c r="J80" i="7"/>
  <c r="H79" i="7"/>
  <c r="D79" i="7"/>
  <c r="H78" i="7"/>
  <c r="E78" i="7"/>
  <c r="H77" i="7"/>
  <c r="E77" i="7"/>
  <c r="H76" i="7"/>
  <c r="E76" i="7"/>
  <c r="H75" i="7"/>
  <c r="E75" i="7"/>
  <c r="J74" i="7"/>
  <c r="H74" i="7" s="1"/>
  <c r="G74" i="7"/>
  <c r="E74" i="7" s="1"/>
  <c r="H73" i="7"/>
  <c r="E73" i="7"/>
  <c r="D63" i="7"/>
  <c r="G59" i="7"/>
  <c r="H58" i="7"/>
  <c r="G58" i="7"/>
  <c r="D58" i="7"/>
  <c r="H57" i="7"/>
  <c r="E57" i="7"/>
  <c r="H56" i="7"/>
  <c r="E56" i="7"/>
  <c r="G54" i="7"/>
  <c r="G52" i="7"/>
  <c r="G51" i="7"/>
  <c r="J50" i="7"/>
  <c r="K50" i="7" s="1"/>
  <c r="G50" i="7"/>
  <c r="G49" i="7"/>
  <c r="J48" i="7"/>
  <c r="G48" i="7"/>
  <c r="E48" i="7" s="1"/>
  <c r="D48" i="7"/>
  <c r="H47" i="7"/>
  <c r="E47" i="7"/>
  <c r="G40" i="7"/>
  <c r="G39" i="7"/>
  <c r="G38" i="7"/>
  <c r="G37" i="7"/>
  <c r="J34" i="7"/>
  <c r="J33" i="7"/>
  <c r="J32" i="7"/>
  <c r="H29" i="7"/>
  <c r="G29" i="7"/>
  <c r="E29" i="7" s="1"/>
  <c r="H27" i="7"/>
  <c r="D27" i="7"/>
  <c r="J26" i="7"/>
  <c r="H26" i="7" s="1"/>
  <c r="E26" i="7"/>
  <c r="D26" i="7"/>
  <c r="H24" i="7"/>
  <c r="E24" i="7"/>
  <c r="H23" i="7"/>
  <c r="E23" i="7"/>
  <c r="H22" i="7"/>
  <c r="G22" i="7"/>
  <c r="E22" i="7" s="1"/>
  <c r="D22" i="7"/>
  <c r="G21" i="7"/>
  <c r="G19" i="7"/>
  <c r="H18" i="7"/>
  <c r="G18" i="7"/>
  <c r="E18" i="7" s="1"/>
  <c r="J17" i="7"/>
  <c r="J15" i="7"/>
  <c r="E15" i="7"/>
  <c r="D15" i="7"/>
  <c r="H14" i="7"/>
  <c r="G14" i="7"/>
  <c r="E14" i="7" s="1"/>
  <c r="D14" i="7"/>
  <c r="H13" i="7"/>
  <c r="G13" i="7"/>
  <c r="E13" i="7" s="1"/>
  <c r="D13" i="7"/>
  <c r="H12" i="7"/>
  <c r="H11" i="7"/>
  <c r="G11" i="7"/>
  <c r="E11" i="7"/>
  <c r="D11" i="7"/>
  <c r="H9" i="7"/>
  <c r="E9" i="7"/>
  <c r="D9" i="7"/>
  <c r="E32" i="7" l="1"/>
  <c r="H100" i="7"/>
  <c r="E28" i="7"/>
  <c r="E30" i="7" s="1"/>
  <c r="H32" i="7"/>
  <c r="H98" i="7"/>
  <c r="E58" i="7"/>
  <c r="E132" i="7"/>
  <c r="H80" i="7"/>
  <c r="H147" i="7" s="1"/>
  <c r="H149" i="7" s="1"/>
  <c r="H132" i="7"/>
  <c r="E144" i="7"/>
  <c r="G28" i="7"/>
  <c r="G30" i="7" s="1"/>
  <c r="G147" i="7"/>
  <c r="G149" i="7" s="1"/>
  <c r="H15" i="7"/>
  <c r="H28" i="7" s="1"/>
  <c r="H30" i="7" s="1"/>
  <c r="E100" i="7"/>
  <c r="E121" i="7"/>
  <c r="E140" i="7"/>
  <c r="J28" i="7"/>
  <c r="J30" i="7" s="1"/>
  <c r="J147" i="7"/>
  <c r="J149" i="7" s="1"/>
  <c r="H158" i="6"/>
  <c r="H156" i="6"/>
  <c r="H150" i="6"/>
  <c r="H149" i="6"/>
  <c r="H109" i="6"/>
  <c r="H103" i="6"/>
  <c r="H102" i="6"/>
  <c r="H101" i="6"/>
  <c r="H97" i="6"/>
  <c r="H98" i="6"/>
  <c r="H99" i="6"/>
  <c r="H96" i="6"/>
  <c r="H95" i="6"/>
  <c r="H91" i="6"/>
  <c r="E147" i="7" l="1"/>
  <c r="E149" i="7" s="1"/>
  <c r="H150" i="7"/>
  <c r="J150" i="7"/>
  <c r="G150" i="7"/>
  <c r="H90" i="6"/>
  <c r="H89" i="6"/>
  <c r="H81" i="6"/>
  <c r="H80" i="6"/>
  <c r="H78" i="6"/>
  <c r="H77" i="6"/>
  <c r="H76" i="6"/>
  <c r="H74" i="6"/>
  <c r="H58" i="6"/>
  <c r="H57" i="6"/>
  <c r="H47" i="6"/>
  <c r="H29" i="6"/>
  <c r="H27" i="6"/>
  <c r="H24" i="6"/>
  <c r="H23" i="6"/>
  <c r="H18" i="6"/>
  <c r="E128" i="6"/>
  <c r="M123" i="6"/>
  <c r="M122" i="6"/>
  <c r="M121" i="6"/>
  <c r="E102" i="6"/>
  <c r="E103" i="6"/>
  <c r="D102" i="6"/>
  <c r="E150" i="7" l="1"/>
  <c r="E23" i="6"/>
  <c r="H22" i="6"/>
  <c r="E15" i="6"/>
  <c r="E9" i="6"/>
  <c r="H9" i="6"/>
  <c r="M76" i="6" l="1"/>
  <c r="E76" i="6"/>
  <c r="E77" i="6"/>
  <c r="E78" i="6"/>
  <c r="H127" i="6"/>
  <c r="E127" i="6"/>
  <c r="E125" i="6"/>
  <c r="H125" i="6"/>
  <c r="E126" i="6"/>
  <c r="H126" i="6"/>
  <c r="N7" i="6" l="1"/>
  <c r="J111" i="6" l="1"/>
  <c r="O7" i="6" l="1"/>
  <c r="D91" i="6"/>
  <c r="D128" i="6"/>
  <c r="D64" i="6" l="1"/>
  <c r="D59" i="6"/>
  <c r="H88" i="6" l="1"/>
  <c r="D90" i="6"/>
  <c r="D9" i="6"/>
  <c r="D89" i="6" l="1"/>
  <c r="G124" i="6"/>
  <c r="E124" i="6" s="1"/>
  <c r="J124" i="6"/>
  <c r="H124" i="6" s="1"/>
  <c r="D81" i="6"/>
  <c r="J110" i="6" l="1"/>
  <c r="D110" i="6"/>
  <c r="H110" i="6" l="1"/>
  <c r="M7" i="6"/>
  <c r="D27" i="6"/>
  <c r="H12" i="6" l="1"/>
  <c r="E107" i="5" l="1"/>
  <c r="H160" i="6" l="1"/>
  <c r="G160" i="6"/>
  <c r="E160" i="6" s="1"/>
  <c r="G158" i="6"/>
  <c r="E158" i="6" s="1"/>
  <c r="G157" i="6"/>
  <c r="G156" i="6"/>
  <c r="J153" i="6"/>
  <c r="H151" i="6" s="1"/>
  <c r="G152" i="6"/>
  <c r="G151" i="6"/>
  <c r="G149" i="6"/>
  <c r="E149" i="6" s="1"/>
  <c r="D149" i="6"/>
  <c r="J144" i="6"/>
  <c r="G144" i="6"/>
  <c r="J143" i="6"/>
  <c r="G143" i="6"/>
  <c r="J133" i="6"/>
  <c r="G133" i="6"/>
  <c r="J132" i="6"/>
  <c r="G132" i="6"/>
  <c r="J118" i="6"/>
  <c r="G116" i="6"/>
  <c r="G115" i="6"/>
  <c r="J112" i="6"/>
  <c r="G99" i="6"/>
  <c r="G98" i="6"/>
  <c r="G97" i="6"/>
  <c r="D97" i="6"/>
  <c r="G96" i="6"/>
  <c r="E96" i="6" s="1"/>
  <c r="D96" i="6"/>
  <c r="E95" i="6"/>
  <c r="D95" i="6"/>
  <c r="G88" i="6"/>
  <c r="E88" i="6" s="1"/>
  <c r="D88" i="6"/>
  <c r="J87" i="6"/>
  <c r="H87" i="6" s="1"/>
  <c r="G87" i="6"/>
  <c r="E87" i="6" s="1"/>
  <c r="J86" i="6"/>
  <c r="H86" i="6" s="1"/>
  <c r="E86" i="6"/>
  <c r="J85" i="6"/>
  <c r="G85" i="6"/>
  <c r="E83" i="6" s="1"/>
  <c r="J83" i="6"/>
  <c r="J75" i="6"/>
  <c r="H75" i="6" s="1"/>
  <c r="G75" i="6"/>
  <c r="E75" i="6" s="1"/>
  <c r="G60" i="6"/>
  <c r="G59" i="6"/>
  <c r="J51" i="6"/>
  <c r="G55" i="6"/>
  <c r="G53" i="6"/>
  <c r="G52" i="6"/>
  <c r="G51" i="6"/>
  <c r="G50" i="6"/>
  <c r="J49" i="6"/>
  <c r="G49" i="6"/>
  <c r="D49" i="6"/>
  <c r="G40" i="6"/>
  <c r="G39" i="6"/>
  <c r="G38" i="6"/>
  <c r="G37" i="6"/>
  <c r="J34" i="6"/>
  <c r="J33" i="6"/>
  <c r="J32" i="6"/>
  <c r="G29" i="6"/>
  <c r="E29" i="6" s="1"/>
  <c r="J26" i="6"/>
  <c r="H26" i="6" s="1"/>
  <c r="E26" i="6"/>
  <c r="D26" i="6"/>
  <c r="G22" i="6"/>
  <c r="E22" i="6" s="1"/>
  <c r="D22" i="6"/>
  <c r="G21" i="6"/>
  <c r="G19" i="6"/>
  <c r="G18" i="6"/>
  <c r="J17" i="6"/>
  <c r="J15" i="6"/>
  <c r="J28" i="6" s="1"/>
  <c r="J30" i="6" s="1"/>
  <c r="D15" i="6"/>
  <c r="H14" i="6"/>
  <c r="G14" i="6"/>
  <c r="E14" i="6" s="1"/>
  <c r="D14" i="6"/>
  <c r="H13" i="6"/>
  <c r="G13" i="6"/>
  <c r="E13" i="6" s="1"/>
  <c r="D13" i="6"/>
  <c r="H11" i="6"/>
  <c r="G11" i="6"/>
  <c r="D11" i="6"/>
  <c r="E132" i="6" l="1"/>
  <c r="E143" i="6"/>
  <c r="E32" i="6"/>
  <c r="E151" i="6"/>
  <c r="H112" i="6"/>
  <c r="H132" i="6"/>
  <c r="N136" i="6" s="1"/>
  <c r="E59" i="6"/>
  <c r="H143" i="6"/>
  <c r="H32" i="6"/>
  <c r="E49" i="6"/>
  <c r="E97" i="6"/>
  <c r="E112" i="6"/>
  <c r="E156" i="6"/>
  <c r="E11" i="6"/>
  <c r="G28" i="6"/>
  <c r="G30" i="6" s="1"/>
  <c r="H49" i="6"/>
  <c r="H83" i="6"/>
  <c r="E18" i="6"/>
  <c r="H15" i="6"/>
  <c r="H28" i="6" s="1"/>
  <c r="H30" i="6" s="1"/>
  <c r="G159" i="6"/>
  <c r="G161" i="6" s="1"/>
  <c r="J159" i="6"/>
  <c r="J161" i="6" s="1"/>
  <c r="E22" i="5"/>
  <c r="E20" i="5"/>
  <c r="H20" i="5"/>
  <c r="E28" i="6" l="1"/>
  <c r="E30" i="6" s="1"/>
  <c r="H159" i="6"/>
  <c r="H161" i="6" s="1"/>
  <c r="H162" i="6" s="1"/>
  <c r="E159" i="6"/>
  <c r="J162" i="6"/>
  <c r="G85" i="5"/>
  <c r="E85" i="5" s="1"/>
  <c r="J85" i="5"/>
  <c r="H85" i="5" s="1"/>
  <c r="G62" i="5"/>
  <c r="E62" i="5" s="1"/>
  <c r="J62" i="5"/>
  <c r="H62" i="5" s="1"/>
  <c r="E161" i="6" l="1"/>
  <c r="E63" i="5"/>
  <c r="H63" i="5"/>
  <c r="H47" i="5"/>
  <c r="H107" i="5" l="1"/>
  <c r="G107" i="5"/>
  <c r="H105" i="5"/>
  <c r="G105" i="5"/>
  <c r="E105" i="5" s="1"/>
  <c r="G104" i="5"/>
  <c r="H103" i="5"/>
  <c r="G103" i="5"/>
  <c r="J101" i="5"/>
  <c r="H99" i="5" s="1"/>
  <c r="G100" i="5"/>
  <c r="G99" i="5"/>
  <c r="H98" i="5"/>
  <c r="E98" i="5"/>
  <c r="H97" i="5"/>
  <c r="G97" i="5"/>
  <c r="E97" i="5" s="1"/>
  <c r="D97" i="5"/>
  <c r="J92" i="5"/>
  <c r="G92" i="5"/>
  <c r="J91" i="5"/>
  <c r="G91" i="5"/>
  <c r="J87" i="5"/>
  <c r="G87" i="5"/>
  <c r="J86" i="5"/>
  <c r="G86" i="5"/>
  <c r="J82" i="5"/>
  <c r="G80" i="5"/>
  <c r="G79" i="5"/>
  <c r="E76" i="5" s="1"/>
  <c r="J76" i="5"/>
  <c r="H75" i="5"/>
  <c r="E75" i="5"/>
  <c r="G74" i="5"/>
  <c r="G73" i="5"/>
  <c r="G72" i="5"/>
  <c r="D72" i="5"/>
  <c r="G71" i="5"/>
  <c r="E71" i="5" s="1"/>
  <c r="D71" i="5"/>
  <c r="H70" i="5"/>
  <c r="E70" i="5"/>
  <c r="D70" i="5"/>
  <c r="H69" i="5"/>
  <c r="G69" i="5"/>
  <c r="E69" i="5" s="1"/>
  <c r="D69" i="5"/>
  <c r="J68" i="5"/>
  <c r="H68" i="5" s="1"/>
  <c r="G68" i="5"/>
  <c r="E68" i="5" s="1"/>
  <c r="J67" i="5"/>
  <c r="H67" i="5" s="1"/>
  <c r="E67" i="5"/>
  <c r="J66" i="5"/>
  <c r="G66" i="5"/>
  <c r="E64" i="5" s="1"/>
  <c r="J64" i="5"/>
  <c r="G48" i="5"/>
  <c r="G47" i="5"/>
  <c r="E47" i="5" s="1"/>
  <c r="D47" i="5"/>
  <c r="J46" i="5"/>
  <c r="G45" i="5"/>
  <c r="G43" i="5"/>
  <c r="G42" i="5"/>
  <c r="G41" i="5"/>
  <c r="G40" i="5"/>
  <c r="J39" i="5"/>
  <c r="G39" i="5"/>
  <c r="D39" i="5"/>
  <c r="G35" i="5"/>
  <c r="G34" i="5"/>
  <c r="G33" i="5"/>
  <c r="G32" i="5"/>
  <c r="J29" i="5"/>
  <c r="J28" i="5"/>
  <c r="J27" i="5"/>
  <c r="H24" i="5"/>
  <c r="G24" i="5"/>
  <c r="E24" i="5" s="1"/>
  <c r="J22" i="5"/>
  <c r="H22" i="5" s="1"/>
  <c r="D22" i="5"/>
  <c r="H21" i="5"/>
  <c r="E21" i="5"/>
  <c r="H19" i="5"/>
  <c r="G19" i="5"/>
  <c r="E19" i="5" s="1"/>
  <c r="D19" i="5"/>
  <c r="G18" i="5"/>
  <c r="G16" i="5"/>
  <c r="H15" i="5"/>
  <c r="G15" i="5"/>
  <c r="J14" i="5"/>
  <c r="J12" i="5"/>
  <c r="E12" i="5"/>
  <c r="D12" i="5"/>
  <c r="H11" i="5"/>
  <c r="G11" i="5"/>
  <c r="E11" i="5" s="1"/>
  <c r="D11" i="5"/>
  <c r="H10" i="5"/>
  <c r="G10" i="5"/>
  <c r="E10" i="5" s="1"/>
  <c r="D10" i="5"/>
  <c r="H9" i="5"/>
  <c r="G9" i="5"/>
  <c r="E9" i="5" s="1"/>
  <c r="D9" i="5"/>
  <c r="H76" i="5" l="1"/>
  <c r="E27" i="5"/>
  <c r="H27" i="5"/>
  <c r="J106" i="5"/>
  <c r="H64" i="5"/>
  <c r="H86" i="5"/>
  <c r="H91" i="5"/>
  <c r="E99" i="5"/>
  <c r="E15" i="5"/>
  <c r="E23" i="5" s="1"/>
  <c r="E72" i="5"/>
  <c r="E103" i="5"/>
  <c r="G106" i="5"/>
  <c r="G108" i="5" s="1"/>
  <c r="J23" i="5"/>
  <c r="J25" i="5" s="1"/>
  <c r="E86" i="5"/>
  <c r="E91" i="5"/>
  <c r="H12" i="5"/>
  <c r="H23" i="5" s="1"/>
  <c r="H25" i="5" s="1"/>
  <c r="G23" i="5"/>
  <c r="G25" i="5" s="1"/>
  <c r="E39" i="5"/>
  <c r="H39" i="5"/>
  <c r="J108" i="5"/>
  <c r="I21" i="4"/>
  <c r="I91" i="4"/>
  <c r="F91" i="4"/>
  <c r="I84" i="4"/>
  <c r="I79" i="4"/>
  <c r="F79" i="4"/>
  <c r="I71" i="4"/>
  <c r="F71" i="4"/>
  <c r="F70" i="4"/>
  <c r="F67" i="4"/>
  <c r="F66" i="4"/>
  <c r="F64" i="4"/>
  <c r="H64" i="4"/>
  <c r="I62" i="4"/>
  <c r="I63" i="4"/>
  <c r="I59" i="4"/>
  <c r="F59" i="4"/>
  <c r="F44" i="4"/>
  <c r="I36" i="4"/>
  <c r="I15" i="4"/>
  <c r="H61" i="4"/>
  <c r="H18" i="4"/>
  <c r="H92" i="4"/>
  <c r="H75" i="4"/>
  <c r="H91" i="4"/>
  <c r="H74" i="4"/>
  <c r="H42" i="4"/>
  <c r="H34" i="4"/>
  <c r="H33" i="4"/>
  <c r="K35" i="4"/>
  <c r="K43" i="4"/>
  <c r="M43" i="4" s="1"/>
  <c r="K14" i="4"/>
  <c r="K78" i="4"/>
  <c r="K77" i="4"/>
  <c r="K93" i="4"/>
  <c r="K61" i="4"/>
  <c r="E21" i="4"/>
  <c r="K21" i="4"/>
  <c r="E67" i="4"/>
  <c r="K63" i="4"/>
  <c r="H63" i="4"/>
  <c r="F63" i="4" s="1"/>
  <c r="E25" i="5" l="1"/>
  <c r="G109" i="5"/>
  <c r="H106" i="5"/>
  <c r="H108" i="5" s="1"/>
  <c r="H109" i="5" s="1"/>
  <c r="J109" i="5"/>
  <c r="E106" i="5"/>
  <c r="E108" i="5" s="1"/>
  <c r="E109" i="5" s="1"/>
  <c r="H69" i="4"/>
  <c r="H68" i="4"/>
  <c r="H67" i="4"/>
  <c r="F90" i="4" l="1"/>
  <c r="H32" i="4" l="1"/>
  <c r="H31" i="4"/>
  <c r="F26" i="4" s="1"/>
  <c r="H23" i="4" l="1"/>
  <c r="F23" i="4" s="1"/>
  <c r="I98" i="4" l="1"/>
  <c r="H98" i="4"/>
  <c r="F98" i="4" s="1"/>
  <c r="I96" i="4"/>
  <c r="H96" i="4"/>
  <c r="F96" i="4" s="1"/>
  <c r="H95" i="4"/>
  <c r="I94" i="4"/>
  <c r="H94" i="4"/>
  <c r="I90" i="4"/>
  <c r="I89" i="4"/>
  <c r="H89" i="4"/>
  <c r="F89" i="4" s="1"/>
  <c r="E89" i="4"/>
  <c r="K85" i="4"/>
  <c r="H85" i="4"/>
  <c r="K84" i="4"/>
  <c r="H84" i="4"/>
  <c r="F84" i="4" s="1"/>
  <c r="K80" i="4"/>
  <c r="H80" i="4"/>
  <c r="K79" i="4"/>
  <c r="H79" i="4"/>
  <c r="K71" i="4"/>
  <c r="I70" i="4"/>
  <c r="H66" i="4"/>
  <c r="E66" i="4"/>
  <c r="I65" i="4"/>
  <c r="F65" i="4"/>
  <c r="E65" i="4"/>
  <c r="I64" i="4"/>
  <c r="E64" i="4"/>
  <c r="K62" i="4"/>
  <c r="F62" i="4"/>
  <c r="K59" i="4"/>
  <c r="H45" i="4"/>
  <c r="I44" i="4"/>
  <c r="H44" i="4"/>
  <c r="E44" i="4"/>
  <c r="H40" i="4"/>
  <c r="H39" i="4"/>
  <c r="H38" i="4"/>
  <c r="H37" i="4"/>
  <c r="K36" i="4"/>
  <c r="H36" i="4"/>
  <c r="E36" i="4"/>
  <c r="K28" i="4"/>
  <c r="K27" i="4"/>
  <c r="K26" i="4"/>
  <c r="I26" i="4" s="1"/>
  <c r="I23" i="4"/>
  <c r="I20" i="4"/>
  <c r="F20" i="4"/>
  <c r="I19" i="4"/>
  <c r="H19" i="4"/>
  <c r="F19" i="4" s="1"/>
  <c r="E19" i="4"/>
  <c r="H16" i="4"/>
  <c r="H15" i="4"/>
  <c r="F15" i="4" s="1"/>
  <c r="K12" i="4"/>
  <c r="F12" i="4"/>
  <c r="E12" i="4"/>
  <c r="I11" i="4"/>
  <c r="H11" i="4"/>
  <c r="F11" i="4" s="1"/>
  <c r="E11" i="4"/>
  <c r="I10" i="4"/>
  <c r="H10" i="4"/>
  <c r="F10" i="4" s="1"/>
  <c r="E10" i="4"/>
  <c r="I9" i="4"/>
  <c r="H9" i="4"/>
  <c r="E9" i="4"/>
  <c r="I97" i="4" l="1"/>
  <c r="I99" i="4" s="1"/>
  <c r="H97" i="4"/>
  <c r="H99" i="4" s="1"/>
  <c r="F36" i="4"/>
  <c r="H22" i="4"/>
  <c r="H24" i="4" s="1"/>
  <c r="K22" i="4"/>
  <c r="K24" i="4" s="1"/>
  <c r="I12" i="4"/>
  <c r="I22" i="4" s="1"/>
  <c r="I24" i="4" s="1"/>
  <c r="F94" i="4"/>
  <c r="F9" i="4"/>
  <c r="F22" i="4" s="1"/>
  <c r="K97" i="4"/>
  <c r="K99" i="4" s="1"/>
  <c r="F97" i="4" l="1"/>
  <c r="F99" i="4" s="1"/>
  <c r="K100" i="4"/>
  <c r="I100" i="4"/>
  <c r="H100" i="4"/>
  <c r="F24" i="4"/>
  <c r="F100" i="4" l="1"/>
  <c r="E162" i="6" l="1"/>
  <c r="G162" i="6"/>
</calcChain>
</file>

<file path=xl/comments1.xml><?xml version="1.0" encoding="utf-8"?>
<comments xmlns="http://schemas.openxmlformats.org/spreadsheetml/2006/main">
  <authors>
    <author>Автор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13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04"/>
          </rPr>
          <t>№235</t>
        </r>
      </text>
    </comment>
    <comment ref="F49" authorId="0">
      <text>
        <r>
          <rPr>
            <b/>
            <sz val="9"/>
            <color indexed="81"/>
            <rFont val="Tahoma"/>
            <family val="2"/>
            <charset val="204"/>
          </rPr>
          <t>№236</t>
        </r>
      </text>
    </comment>
    <comment ref="F50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F51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F94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13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F49" authorId="0">
      <text>
        <r>
          <rPr>
            <b/>
            <sz val="9"/>
            <color indexed="81"/>
            <rFont val="Tahoma"/>
            <family val="2"/>
            <charset val="204"/>
          </rPr>
          <t>№235</t>
        </r>
      </text>
    </comment>
    <comment ref="F50" authorId="0">
      <text>
        <r>
          <rPr>
            <b/>
            <sz val="9"/>
            <color indexed="81"/>
            <rFont val="Tahoma"/>
            <family val="2"/>
            <charset val="204"/>
          </rPr>
          <t>№236</t>
        </r>
      </text>
    </comment>
    <comment ref="F51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F52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F83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F101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9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10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204"/>
          </rPr>
          <t>№235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204"/>
          </rPr>
          <t>№236</t>
        </r>
      </text>
    </comment>
    <comment ref="F41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F42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F64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F75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G9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G36" authorId="0">
      <text>
        <r>
          <rPr>
            <b/>
            <sz val="9"/>
            <color indexed="81"/>
            <rFont val="Tahoma"/>
            <family val="2"/>
            <charset val="204"/>
          </rPr>
          <t>№235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№236</t>
        </r>
      </text>
    </comment>
    <comment ref="G38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G59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G70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<sst xmlns="http://schemas.openxmlformats.org/spreadsheetml/2006/main" count="1527" uniqueCount="315">
  <si>
    <t>ОТЧЕТ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</si>
  <si>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</si>
  <si>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январь-март 2017 г.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</si>
  <si>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</si>
  <si>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</si>
  <si>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</si>
  <si>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</si>
  <si>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</si>
  <si>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</si>
  <si>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</si>
  <si>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</si>
  <si>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</si>
  <si>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</si>
  <si>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</si>
  <si>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</si>
  <si>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Реконструкция ПС-10. Комплекс работ по техническому перевооружению оборудования насосной станции.  (инв. №10000152) (Реконструкция  ПС-10)</t>
  </si>
  <si>
    <t>АО "Гидромашсервис"</t>
  </si>
  <si>
    <t>748/15 от 29.12.15 (часть)</t>
  </si>
  <si>
    <t>№678 от 27.02.2017 (часть)</t>
  </si>
  <si>
    <t>__</t>
  </si>
  <si>
    <t>Реконструкция ПС-13. Комплекс работ по техническому перевооружению оборудования насосной станции. (инв. №10000261) (Реконструкция  ПС-13)</t>
  </si>
  <si>
    <t>748/15 от 29.12.15  (часть)</t>
  </si>
  <si>
    <t>Реконструкция ПС-14. Комплекс работ по техническому перевооружению оборудования насосной станции. (инв. №10000483) (Реконструкция  ПС-14)</t>
  </si>
  <si>
    <t>ПИР, СМР. Строительство сетей водоснабжения в микрорайоне Никольское</t>
  </si>
  <si>
    <t>ООО "Экопроект ЦЧР"</t>
  </si>
  <si>
    <t xml:space="preserve">535/16 от 01.11.16 </t>
  </si>
  <si>
    <t>Акт №14 от 27.01.2017</t>
  </si>
  <si>
    <t>ООО "ЭкоСтрой"</t>
  </si>
  <si>
    <t xml:space="preserve"> 541/16 от 15.11.16</t>
  </si>
  <si>
    <t>№148 от 17.01.2017</t>
  </si>
  <si>
    <t>КС-2, КС-3 №1 от 09.03.2017</t>
  </si>
  <si>
    <t xml:space="preserve">№660657 от 20.02.2017 </t>
  </si>
  <si>
    <t>№1868 от 30.03.2017</t>
  </si>
  <si>
    <t>ЗАО "Воронеж-Пласт"</t>
  </si>
  <si>
    <t>514/16 от 24.10.2016</t>
  </si>
  <si>
    <t>№3 от 09.01.2017</t>
  </si>
  <si>
    <t>Давальческие материалы ООО "ЭкоСтрой"  (март)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</si>
  <si>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</si>
  <si>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</si>
  <si>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</si>
  <si>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</si>
  <si>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</si>
  <si>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ООО "Укрепрайон"</t>
  </si>
  <si>
    <t>728/14 от 28.11.14</t>
  </si>
  <si>
    <t>№875 от 02.03.2017</t>
  </si>
  <si>
    <t>КС-2, КС-3 №32 от 27.01.2017</t>
  </si>
  <si>
    <t>№729690 от 22.03.2017</t>
  </si>
  <si>
    <t>КС-2, КС-3 №33 от 28.02.2017</t>
  </si>
  <si>
    <t>№729691 от 22.03.2017</t>
  </si>
  <si>
    <t>КС-2, КС-3 №34 от 28.02.2017</t>
  </si>
  <si>
    <t>КС-2, КС-3 №35 от 22.03.2017</t>
  </si>
  <si>
    <t>КС-2, КС-3 №36 от 22.03.2017</t>
  </si>
  <si>
    <t xml:space="preserve">427/15 от 30.09.15 </t>
  </si>
  <si>
    <t xml:space="preserve">№659 от 20.02.2017 </t>
  </si>
  <si>
    <t>КС-2, КС-3 №18 от 27.01.2017</t>
  </si>
  <si>
    <t xml:space="preserve">№661 от 20.02.2017 </t>
  </si>
  <si>
    <t xml:space="preserve">№682 от 20.02.2017 </t>
  </si>
  <si>
    <t xml:space="preserve">№658 от 20.02.2017 </t>
  </si>
  <si>
    <t xml:space="preserve">№660660 от 20.02.2017 </t>
  </si>
  <si>
    <t>№729689 от 22.03.2017</t>
  </si>
  <si>
    <t>АО "МАЙ ПРОЕКТ"</t>
  </si>
  <si>
    <t>187/16 от 06.05.16, д/с №671/19 от 21.12.2016</t>
  </si>
  <si>
    <t>№646189 от 27.01.2017</t>
  </si>
  <si>
    <t>Корректировка долга 20.01.2017</t>
  </si>
  <si>
    <t>№729683 от 22.03.2017</t>
  </si>
  <si>
    <t>№729684 от 22.03.2017</t>
  </si>
  <si>
    <t>№729685 от 22.03.2017</t>
  </si>
  <si>
    <t>№729686 от 22.03.2017</t>
  </si>
  <si>
    <t>№729687 от 22.03.2017</t>
  </si>
  <si>
    <t>№729688 от 22.03.2017</t>
  </si>
  <si>
    <t>ПИР, СМР. Реконструкция главного Левобережного коллектора Д-2000 мм протяженностью L-3000 п.м.  (инв. №30014578 «Канализационные сети Левобережного района»).</t>
  </si>
  <si>
    <t>ООО "Производственная фирма "СТИС"</t>
  </si>
  <si>
    <t>430/16 от 20.09.2016</t>
  </si>
  <si>
    <t>№1800 от 24.03.2017</t>
  </si>
  <si>
    <t>КС-2, КС-3 №3 от 28.02.2017</t>
  </si>
  <si>
    <t>КС-2, КС-3 №4 от 01.03.2017</t>
  </si>
  <si>
    <t>Давальческие материалы ООО "Производственная фирма "СТИС" (март)</t>
  </si>
  <si>
    <t>ПИР, СМР. Строительство канализационных сетей и сооружений в микрорайоне Никольское</t>
  </si>
  <si>
    <t>ООО "АгроПроектИнжиниринг"</t>
  </si>
  <si>
    <t>79/16 от 19.02.16</t>
  </si>
  <si>
    <t>№185 от 18.01.2017</t>
  </si>
  <si>
    <t>ПИР, СМР. Реконструкция канализационных линий, подводящих сточные воды к КНС-5</t>
  </si>
  <si>
    <t>ООО "ТЕХНОЛОГИИ XXI ВЕК"</t>
  </si>
  <si>
    <t>346/16 от 27.07.16, д/с №616/16 от 27.07.16</t>
  </si>
  <si>
    <t>ООО "ПОЛИПЛАСТИК Поволжье"</t>
  </si>
  <si>
    <t>594/16 от 12.12.16</t>
  </si>
  <si>
    <t>№153 от 17.01.2017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</si>
  <si>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</si>
  <si>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ООО "ЭНЕРГОСТРОЙ"</t>
  </si>
  <si>
    <t>364/16 от 08.08.16</t>
  </si>
  <si>
    <t>№1801 от 24.03.2017</t>
  </si>
  <si>
    <t>Строительство Сочинского коллектора</t>
  </si>
  <si>
    <t>ООО "ТЕХНОЛОГИИ 21 ВЕК"</t>
  </si>
  <si>
    <t>540/16 от 03.11.2016</t>
  </si>
  <si>
    <t>№707886 от 02.03.2017</t>
  </si>
  <si>
    <t xml:space="preserve">КС-2, КС-3 №2 от 20.02.2017 </t>
  </si>
  <si>
    <t>№729594 от 17.03.2017</t>
  </si>
  <si>
    <t>№729695 от 22.03.2017</t>
  </si>
  <si>
    <t>ПИР, СМР. Реконструкция КНС-9 (инв. №10000462) с заменой оборудования</t>
  </si>
  <si>
    <t>ООО "Строительные технологии</t>
  </si>
  <si>
    <t>562/16 от 17.11.2016</t>
  </si>
  <si>
    <t xml:space="preserve">№648349 от 07.02.2017 </t>
  </si>
  <si>
    <t>КС-2, КС-3 №3 от 27.02.2017</t>
  </si>
  <si>
    <t xml:space="preserve">№660665 от 20.02.2017 </t>
  </si>
  <si>
    <t>№729692 от 22.03.2017</t>
  </si>
  <si>
    <t>КС-2, КС-3 №4 от 15.03.2017</t>
  </si>
  <si>
    <t>ПИР, СМР. Реконструкция КНС-6 (инв. №10000384) с заменой оборудования</t>
  </si>
  <si>
    <t>ООО "Строительные технологии"</t>
  </si>
  <si>
    <t>563/16 от 17.11.2016</t>
  </si>
  <si>
    <t>№648348 от 07.02.2017</t>
  </si>
  <si>
    <t xml:space="preserve">№660664 от 20.02.2017 </t>
  </si>
  <si>
    <t>№729693 от 22.03.2017</t>
  </si>
  <si>
    <t>ПИР, СМР. Реконструкция КНС-8 (инв. №10000386) с заменой оборудования</t>
  </si>
  <si>
    <t>ООО "Производственная фирма "СТИС""</t>
  </si>
  <si>
    <t xml:space="preserve">451/16 от 30.09.16 </t>
  </si>
  <si>
    <t xml:space="preserve">№649561 от 10.02.2017 </t>
  </si>
  <si>
    <t>212/16 от 20.05.16, д/с № 1/672/16 от 22.12.2016</t>
  </si>
  <si>
    <t>№729694 от 22.03.2017</t>
  </si>
  <si>
    <t>Создание гидравлической модели работы системы водоотведения</t>
  </si>
  <si>
    <t>ООО НПП "КОМПЬЮТЕРНЫЕ ТЕХНОЛОГИИ"</t>
  </si>
  <si>
    <t>337/16 от 21.07.16</t>
  </si>
  <si>
    <t xml:space="preserve">№648381 от 09.02.2017 </t>
  </si>
  <si>
    <t xml:space="preserve">№649501 от 13.02.2017 </t>
  </si>
  <si>
    <t xml:space="preserve">Создание системы охраны периметра ГКНС, РКНС </t>
  </si>
  <si>
    <t>ООО "ТВ-Сервис"</t>
  </si>
  <si>
    <t>565/16 от 21.11.2016</t>
  </si>
  <si>
    <t>№281 от 24.01.2017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</si>
  <si>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</si>
  <si>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</si>
  <si>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</si>
  <si>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</si>
  <si>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>1 кв. 2017 года</t>
  </si>
  <si>
    <t>Справочно</t>
  </si>
  <si>
    <t>Структура финансовых потоков по инвестиционной программе (ИП), тыс.руб.</t>
  </si>
  <si>
    <t>Показатель</t>
  </si>
  <si>
    <t>Начисление</t>
  </si>
  <si>
    <t>Финансирование</t>
  </si>
  <si>
    <t xml:space="preserve">Выполнение / Финансирование мероприятий ИП, с НДС </t>
  </si>
  <si>
    <t>Привлечение кредитов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</si>
  <si>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</si>
  <si>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</si>
  <si>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</si>
  <si>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28 058,75</t>
  </si>
  <si>
    <t>Обязательство по налогу на прибыль (расчетно по ИП)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</si>
  <si>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</si>
  <si>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</si>
  <si>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</si>
  <si>
    <t>Выручка по ВиВ в части инвест составляющей с НДС / Поступление выручки по ВиВ в части инвест составляющей с НДС за вычетом резерва по дебиторской задолженности</t>
  </si>
  <si>
    <t xml:space="preserve">Финансовый директор </t>
  </si>
  <si>
    <t>С.В. Туршатова</t>
  </si>
  <si>
    <t>Начальник ОРИП</t>
  </si>
  <si>
    <t>Е.С. Александрова</t>
  </si>
  <si>
    <t>550/16 от 09.11.2016</t>
  </si>
  <si>
    <t>КС-2, КС-3 №3 от 27.04.2017</t>
  </si>
  <si>
    <t>КС-2, КС-3 №3 от 03.04.2017</t>
  </si>
  <si>
    <t>КС-2, КС-3 №3 от 26.04.2017</t>
  </si>
  <si>
    <t xml:space="preserve">КС-2, КС-3 №2 от 18.04.2017 </t>
  </si>
  <si>
    <t>КС-2, КС-3 №38 от 26.04.2017</t>
  </si>
  <si>
    <t>КС-2, КС-3 №37 от 26.04.2017</t>
  </si>
  <si>
    <t>Акт №105 от 03.04.2017</t>
  </si>
  <si>
    <t>КС-2, КС-3 №1 от 25.04.2017</t>
  </si>
  <si>
    <t>Корректировочный акт от 25.04.2017</t>
  </si>
  <si>
    <t>ООО Премьер</t>
  </si>
  <si>
    <t>КС-2, КС-3 №19 от 26.04.2017</t>
  </si>
  <si>
    <t>КС-2, КС-3 №2 от 25.04.2018</t>
  </si>
  <si>
    <t>91/17 от 01.03.2017</t>
  </si>
  <si>
    <t>Договор о уступки прав требований от 06.02.2017</t>
  </si>
  <si>
    <t>ПИР Реконструкция  ВПС-6. Комплекс работ по техническому перевооружению оборудования машинных залов. (инв. №100000077)</t>
  </si>
  <si>
    <t>ООО "Инженерная геодезия и топография"</t>
  </si>
  <si>
    <t>КС-2, КС-3 №5 от 15.05.2017</t>
  </si>
  <si>
    <t>Накладная №10 от 26.04.2017</t>
  </si>
  <si>
    <t>ООО "ПОЛИПЛАСТИК Поволжье" (давальческий для "СТИС")</t>
  </si>
  <si>
    <t>КС-2, КС-3 №3 от 31.05.2017</t>
  </si>
  <si>
    <t>КС-2, КС-3 №5 от 31.05.2017</t>
  </si>
  <si>
    <t>КС-2, КС-3 №4 от 25.05.2017</t>
  </si>
  <si>
    <t>Акт №142 от 31.05.2017</t>
  </si>
  <si>
    <t>КС-2, КС-3 №20 от 25.05.2017</t>
  </si>
  <si>
    <t>КС-2, КС-3 №39 от 25.05.2017</t>
  </si>
  <si>
    <t>Акт от 29.05.2017</t>
  </si>
  <si>
    <t>№1917 от 03.04.2017</t>
  </si>
  <si>
    <t>№2030 от 10.04.2017</t>
  </si>
  <si>
    <t>№2031 от 10.04.2017</t>
  </si>
  <si>
    <t>№2029 от 10.04.2017</t>
  </si>
  <si>
    <t>№2322 от 21.04.2017</t>
  </si>
  <si>
    <t>№2323 от 21.04.2017</t>
  </si>
  <si>
    <t>№4504 от 29.05.2017</t>
  </si>
  <si>
    <t>№4487 от 29.05.2017</t>
  </si>
  <si>
    <t>№4486 от 29.05.2017</t>
  </si>
  <si>
    <t>№4485 от 29.05.2017</t>
  </si>
  <si>
    <t>№4498 от 29.05.2017</t>
  </si>
  <si>
    <t>№4505 от 29.05.2017</t>
  </si>
  <si>
    <t>№4506 от 29.05.2017</t>
  </si>
  <si>
    <t>№4501 от 29.05.2017</t>
  </si>
  <si>
    <t>№4499 от 29.05.2017</t>
  </si>
  <si>
    <t>№4500 от 29.05.2017</t>
  </si>
  <si>
    <t>№4509 от 29.05.2017</t>
  </si>
  <si>
    <t>№4508 от 29.05.2017</t>
  </si>
  <si>
    <t>№4511 от 29.05.2017</t>
  </si>
  <si>
    <t>№4510 от 29.05.2017</t>
  </si>
  <si>
    <t>№4507 от 29.05.2017</t>
  </si>
  <si>
    <t>январь-июнь 2017 г.</t>
  </si>
  <si>
    <t>ООО "ЭкспертПроект"</t>
  </si>
  <si>
    <t>218/17 от 24.04.2017</t>
  </si>
  <si>
    <t>ИП Строительство цеха механического обезвоживания осадка (ЦМО) на ПОС ПИР.СМР.</t>
  </si>
  <si>
    <t>ООО"Газпром межрегионгаз Воронеж"</t>
  </si>
  <si>
    <t xml:space="preserve">351/17 от 31.05.2017 </t>
  </si>
  <si>
    <t>Капитализация процентов июнь</t>
  </si>
  <si>
    <t xml:space="preserve">№5387 от 23.06.2017 </t>
  </si>
  <si>
    <t xml:space="preserve">№5389 от 23.06.2017 </t>
  </si>
  <si>
    <t>№5390 от 23.06.2017</t>
  </si>
  <si>
    <t>№5537 от 30.06.2017</t>
  </si>
  <si>
    <t>№5450 от 28.06.2017</t>
  </si>
  <si>
    <t>КС-2, КС-3 №6 от 23.06.2017</t>
  </si>
  <si>
    <t>Акт №84 от 05.06.2017</t>
  </si>
  <si>
    <t>Акт сдачи от 30.06.2017</t>
  </si>
  <si>
    <t>КС-2, КС-3 №40 от 23.06.2017</t>
  </si>
  <si>
    <t>КС-2, КС-3 №4 от 23.06.2017</t>
  </si>
  <si>
    <t>за 6 месяцев 2017 года</t>
  </si>
  <si>
    <t>Письмо 1868/17 от 03.02.2017</t>
  </si>
  <si>
    <t>Приобретение основных средств (технологическое оборудование, автотранспорт, спецтехника, сварочное оборудование, средства малой механизации)</t>
  </si>
  <si>
    <t>ООО "База приборов"</t>
  </si>
  <si>
    <t>..</t>
  </si>
  <si>
    <t>№265/17 от 17.05.2017</t>
  </si>
  <si>
    <t>январь-сентябрь 2017 г.</t>
  </si>
  <si>
    <t>Модернизация сетей и сооружений водоотведения в жилом массиве "Задонье"</t>
  </si>
  <si>
    <t>ВоронежТехСтрой ООО</t>
  </si>
  <si>
    <t xml:space="preserve">358/17 от 28.06.2017 </t>
  </si>
  <si>
    <t>102/16 от 09.03.2016</t>
  </si>
  <si>
    <t>ООО "НОВЫЙ ПРОЕКТ"</t>
  </si>
  <si>
    <t>487/16 04.10.2016</t>
  </si>
  <si>
    <t>Строительство ВПС-21 (Переоценка запасов подземных вод, ПИР)</t>
  </si>
  <si>
    <t>546/16 от 08.11.2016</t>
  </si>
  <si>
    <t>июль</t>
  </si>
  <si>
    <t>август</t>
  </si>
  <si>
    <t>МКП "УПРАВЛЕНИЕ ГЛАВНОГО АРХИТЕКТОРА"</t>
  </si>
  <si>
    <t>549/16 09.11.2016</t>
  </si>
  <si>
    <t>187/16 от 06.05.16</t>
  </si>
  <si>
    <t>Дополнительное соглашение к договору № 187/16 от 06.05.2016</t>
  </si>
  <si>
    <t>ООО "Гнб36строй"</t>
  </si>
  <si>
    <t>№ 433/17 от 25.07.2017</t>
  </si>
  <si>
    <t xml:space="preserve">Реконструкция коллектора по ул. Патриотов (75 п.м. от К-6 до К-7) </t>
  </si>
  <si>
    <t>ООО "Метапласт-С"</t>
  </si>
  <si>
    <t>№ 423/17 от 17.07.2017</t>
  </si>
  <si>
    <t>ООО УК "РОСВОДОКАНАЛ"</t>
  </si>
  <si>
    <t>№ 138/14 от 12.03.2014г.</t>
  </si>
  <si>
    <t>ООО "СтройПроектЭкспертСервис"</t>
  </si>
  <si>
    <t>625/16 15.12.2016</t>
  </si>
  <si>
    <t>сентябрь</t>
  </si>
  <si>
    <t>КС-2, КС-3 №7 от 31.07.2017</t>
  </si>
  <si>
    <t xml:space="preserve">КС-2, КС-3 №1 от 14.07.2017 </t>
  </si>
  <si>
    <t>Акт №003/2017-РВК от 31.07.2017</t>
  </si>
  <si>
    <t>КС-2, КС-3 №6 от 26.04.2018</t>
  </si>
  <si>
    <t>КС-2, КС-3 №41 от 26.07.2017</t>
  </si>
  <si>
    <t>КС-2 №1 от 03.08.2017
Акт от 03.08.2017</t>
  </si>
  <si>
    <t>КС-2, КС-3 №42 от 31.08.2017</t>
  </si>
  <si>
    <t>КС-2, КС-3 №21 от 31.08.2017</t>
  </si>
  <si>
    <t>КС-2, КС-3 №44 от 31.08.2017</t>
  </si>
  <si>
    <t>КС-2, КС-3 №8 от 31.08.2017</t>
  </si>
  <si>
    <t>Акт №0004465 от 31.08.2017</t>
  </si>
  <si>
    <t>КС-2, КС-3 №45 от 31.08.2017</t>
  </si>
  <si>
    <t>КС-2, КС-3 №43 от 31.08.2017</t>
  </si>
  <si>
    <t>+</t>
  </si>
  <si>
    <t>Капитализация процентов июль</t>
  </si>
  <si>
    <t>Капитализация процентов август</t>
  </si>
  <si>
    <t>Капитализация процентов сентябрь</t>
  </si>
  <si>
    <t>-</t>
  </si>
  <si>
    <t>Давальческий материал (сентябрь)</t>
  </si>
  <si>
    <t>Давальческий материал (август)</t>
  </si>
  <si>
    <t>Акт №2 от 28.07.2017</t>
  </si>
  <si>
    <t>КС-14 от 31.08.2017
 КС-3 №5 от 31.08.2017</t>
  </si>
  <si>
    <t>за 9 месяцев 2017 года</t>
  </si>
  <si>
    <t>уменьшение за счет УСН</t>
  </si>
  <si>
    <t>Счет-фактура №613 от 20.06.2017</t>
  </si>
  <si>
    <t>№8487 от 27.07.2017</t>
  </si>
  <si>
    <t xml:space="preserve">№9787 от 08.09.2017 </t>
  </si>
  <si>
    <t>№8484 от 27.07.2017</t>
  </si>
  <si>
    <t>№8480 от 27.07.2017</t>
  </si>
  <si>
    <t>№9166 от 24.08.2017</t>
  </si>
  <si>
    <t>№9168 от 24.08.2018</t>
  </si>
  <si>
    <t>ООО "ГЕА Вестфалия Сепаратор Си Ай Эс"</t>
  </si>
  <si>
    <t xml:space="preserve">56/17 от 07.02.17 </t>
  </si>
  <si>
    <t>№8485 от 27.07.2017</t>
  </si>
  <si>
    <t>№ 361/17 от 29.06.2017</t>
  </si>
  <si>
    <t>№9170 от 24.08.2017</t>
  </si>
  <si>
    <t>№9171 от 24.08.2017</t>
  </si>
  <si>
    <t xml:space="preserve">№9789 от 08.09.2017 </t>
  </si>
  <si>
    <t xml:space="preserve">№9172 от 24.08.2017 </t>
  </si>
  <si>
    <t>№8482 от 27.07.2017</t>
  </si>
  <si>
    <t>№8483 от 27.07.2017</t>
  </si>
  <si>
    <t>№9165 от 24.08.2017</t>
  </si>
  <si>
    <t>№9788 от 08.09.2017</t>
  </si>
  <si>
    <t>№9790 от 08.09.2017</t>
  </si>
  <si>
    <t>№9180 от 24.08.2017</t>
  </si>
  <si>
    <t>КС-2, КС-3 №6 от 31.07.2017</t>
  </si>
  <si>
    <t>№9179 от 24.08.2017</t>
  </si>
  <si>
    <t xml:space="preserve">№8489 от 27.07.2017 </t>
  </si>
  <si>
    <t>№9178 от 24.08.2017</t>
  </si>
  <si>
    <t>ООО "ТЕХСТРОЙ"</t>
  </si>
  <si>
    <t>№ 354/17 от 27.06.2017</t>
  </si>
  <si>
    <t>№9169 от 24.08.2017</t>
  </si>
  <si>
    <t>ООО "Пайп Трейд Крым"</t>
  </si>
  <si>
    <t>№ 376/17 от 30.06.2017</t>
  </si>
  <si>
    <t>№9173 от 24.08.2017</t>
  </si>
  <si>
    <t>КС-2, КС-3 №9 от 29.09.2017</t>
  </si>
  <si>
    <t>КС-2, КС-3 №22 от 29.09.2017</t>
  </si>
  <si>
    <t>КС-3 №1 от 29.09.2017</t>
  </si>
  <si>
    <t>Акт №2 от 29.09.2017</t>
  </si>
  <si>
    <t>Письмо 
И-0073 от 28.08.2017</t>
  </si>
  <si>
    <t>Письмо 
И-0072 от 28.08.2017</t>
  </si>
  <si>
    <t>Письмо 
И-0074 от 28.08.2017</t>
  </si>
  <si>
    <t>КС-2, КС-3 №1 от 29.09.2017</t>
  </si>
  <si>
    <t>КС-2, КС-3 №46 от 29.09.2017</t>
  </si>
  <si>
    <t>Акт №35 от 01.09.2017</t>
  </si>
  <si>
    <t>№9008 от 21.08.2017</t>
  </si>
  <si>
    <t>№10827 от 29.09.2017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</si>
</sst>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0.000"/>
    <numFmt numFmtId="166" formatCode="_-* #,##0\ _₽_-;\-* #,##0\ _₽_-;_-* &quot;-&quot;??\ _₽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2"/>
      <color theme="3" tint="0.3999755851924192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6" fillId="0" borderId="0"/>
    <xf numFmtId="0" fontId="12" fillId="0" borderId="0"/>
    <xf numFmtId="0" fontId="14" fillId="0" borderId="0"/>
    <xf numFmtId="0" fontId="17" fillId="0" borderId="0"/>
    <xf numFmtId="0" fontId="18" fillId="0" borderId="0"/>
    <xf numFmtId="0" fontId="7" fillId="0" borderId="0"/>
    <xf numFmtId="0" fontId="19" fillId="0" borderId="0"/>
    <xf numFmtId="0" fontId="5" fillId="0" borderId="0"/>
    <xf numFmtId="43" fontId="7" fillId="0" borderId="0" applyFont="0" applyFill="0" applyBorder="0" applyAlignment="0" applyProtection="0"/>
  </cellStyleXfs>
  <cellXfs count="577">
    <xf numFmtId="0" fontId="0" fillId="0" borderId="0" xfId="0"/>
    <xf numFmtId="0" fontId="8" fillId="0" borderId="0" xfId="1" applyFont="1" applyFill="1"/>
    <xf numFmtId="0" fontId="9" fillId="0" borderId="0" xfId="1" applyFont="1" applyFill="1"/>
    <xf numFmtId="0" fontId="10" fillId="0" borderId="0" xfId="1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6" fillId="0" borderId="0" xfId="1" applyFill="1"/>
    <xf numFmtId="0" fontId="6" fillId="0" borderId="0" xfId="1"/>
    <xf numFmtId="0" fontId="8" fillId="0" borderId="0" xfId="1" applyFont="1"/>
    <xf numFmtId="0" fontId="13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64" fontId="11" fillId="0" borderId="0" xfId="2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164" fontId="10" fillId="0" borderId="14" xfId="1" applyNumberFormat="1" applyFont="1" applyFill="1" applyBorder="1" applyAlignment="1">
      <alignment horizontal="center" vertical="center" wrapText="1"/>
    </xf>
    <xf numFmtId="164" fontId="10" fillId="0" borderId="15" xfId="1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164" fontId="10" fillId="0" borderId="17" xfId="1" applyNumberFormat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4" fontId="10" fillId="0" borderId="21" xfId="1" applyNumberFormat="1" applyFont="1" applyFill="1" applyBorder="1" applyAlignment="1">
      <alignment horizontal="center" vertical="center" wrapText="1"/>
    </xf>
    <xf numFmtId="164" fontId="10" fillId="0" borderId="20" xfId="1" applyNumberFormat="1" applyFont="1" applyFill="1" applyBorder="1" applyAlignment="1">
      <alignment horizontal="center" vertical="center" wrapText="1"/>
    </xf>
    <xf numFmtId="164" fontId="10" fillId="0" borderId="25" xfId="1" applyNumberFormat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164" fontId="11" fillId="0" borderId="29" xfId="1" applyNumberFormat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164" fontId="11" fillId="0" borderId="30" xfId="1" applyNumberFormat="1" applyFont="1" applyFill="1" applyBorder="1" applyAlignment="1">
      <alignment horizontal="center" vertical="center" wrapText="1"/>
    </xf>
    <xf numFmtId="164" fontId="10" fillId="0" borderId="29" xfId="1" applyNumberFormat="1" applyFont="1" applyFill="1" applyBorder="1" applyAlignment="1">
      <alignment horizontal="center" vertical="center" wrapText="1"/>
    </xf>
    <xf numFmtId="0" fontId="9" fillId="0" borderId="11" xfId="1" applyFont="1" applyBorder="1"/>
    <xf numFmtId="0" fontId="11" fillId="0" borderId="11" xfId="1" applyFont="1" applyFill="1" applyBorder="1" applyAlignment="1">
      <alignment vertical="center"/>
    </xf>
    <xf numFmtId="164" fontId="10" fillId="0" borderId="31" xfId="1" applyNumberFormat="1" applyFont="1" applyFill="1" applyBorder="1" applyAlignment="1">
      <alignment horizontal="center" vertical="center" wrapText="1"/>
    </xf>
    <xf numFmtId="164" fontId="10" fillId="0" borderId="32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64" fontId="10" fillId="0" borderId="4" xfId="1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4" fontId="10" fillId="0" borderId="34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164" fontId="10" fillId="0" borderId="35" xfId="1" applyNumberFormat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164" fontId="10" fillId="0" borderId="18" xfId="1" applyNumberFormat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164" fontId="10" fillId="0" borderId="36" xfId="1" applyNumberFormat="1" applyFont="1" applyFill="1" applyBorder="1" applyAlignment="1">
      <alignment horizontal="center" vertical="center" wrapText="1"/>
    </xf>
    <xf numFmtId="164" fontId="10" fillId="0" borderId="37" xfId="1" applyNumberFormat="1" applyFont="1" applyFill="1" applyBorder="1" applyAlignment="1">
      <alignment horizontal="center" vertical="center" wrapText="1"/>
    </xf>
    <xf numFmtId="164" fontId="10" fillId="0" borderId="38" xfId="1" applyNumberFormat="1" applyFont="1" applyFill="1" applyBorder="1" applyAlignment="1">
      <alignment horizontal="center" vertical="center" wrapText="1"/>
    </xf>
    <xf numFmtId="164" fontId="10" fillId="0" borderId="39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ill="1"/>
    <xf numFmtId="0" fontId="9" fillId="0" borderId="0" xfId="1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vertical="center" wrapText="1"/>
    </xf>
    <xf numFmtId="4" fontId="23" fillId="0" borderId="39" xfId="0" applyNumberFormat="1" applyFont="1" applyBorder="1" applyAlignment="1">
      <alignment horizontal="right" vertical="center" wrapText="1"/>
    </xf>
    <xf numFmtId="0" fontId="24" fillId="0" borderId="41" xfId="0" applyFont="1" applyBorder="1" applyAlignment="1">
      <alignment vertical="center" wrapText="1"/>
    </xf>
    <xf numFmtId="0" fontId="24" fillId="0" borderId="39" xfId="0" applyFont="1" applyBorder="1" applyAlignment="1">
      <alignment horizontal="right" vertical="center" wrapText="1"/>
    </xf>
    <xf numFmtId="4" fontId="24" fillId="0" borderId="39" xfId="0" applyNumberFormat="1" applyFont="1" applyBorder="1" applyAlignment="1">
      <alignment horizontal="right" vertical="center" wrapText="1"/>
    </xf>
    <xf numFmtId="0" fontId="22" fillId="0" borderId="44" xfId="0" applyFont="1" applyBorder="1" applyAlignment="1">
      <alignment vertical="center" wrapText="1"/>
    </xf>
    <xf numFmtId="0" fontId="25" fillId="0" borderId="0" xfId="1" applyFont="1" applyFill="1" applyAlignment="1">
      <alignment horizontal="left"/>
    </xf>
    <xf numFmtId="0" fontId="25" fillId="0" borderId="0" xfId="1" applyFont="1" applyFill="1" applyBorder="1"/>
    <xf numFmtId="0" fontId="25" fillId="0" borderId="0" xfId="1" applyFont="1" applyFill="1"/>
    <xf numFmtId="4" fontId="23" fillId="0" borderId="40" xfId="0" applyNumberFormat="1" applyFont="1" applyBorder="1" applyAlignment="1">
      <alignment horizontal="right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164" fontId="10" fillId="0" borderId="23" xfId="1" applyNumberFormat="1" applyFont="1" applyFill="1" applyBorder="1" applyAlignment="1">
      <alignment horizontal="center" vertical="center" wrapText="1"/>
    </xf>
    <xf numFmtId="164" fontId="10" fillId="0" borderId="24" xfId="1" applyNumberFormat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vertical="center"/>
    </xf>
    <xf numFmtId="0" fontId="11" fillId="0" borderId="13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3" applyNumberFormat="1" applyFont="1" applyFill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164" fontId="10" fillId="0" borderId="24" xfId="1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vertical="center" wrapText="1"/>
    </xf>
    <xf numFmtId="0" fontId="11" fillId="0" borderId="43" xfId="1" applyFont="1" applyFill="1" applyBorder="1" applyAlignment="1">
      <alignment vertical="center"/>
    </xf>
    <xf numFmtId="165" fontId="10" fillId="0" borderId="23" xfId="1" applyNumberFormat="1" applyFont="1" applyFill="1" applyBorder="1" applyAlignment="1">
      <alignment horizontal="center" vertical="center" wrapText="1"/>
    </xf>
    <xf numFmtId="164" fontId="10" fillId="2" borderId="21" xfId="1" applyNumberFormat="1" applyFont="1" applyFill="1" applyBorder="1" applyAlignment="1">
      <alignment horizontal="center" vertical="center" wrapText="1"/>
    </xf>
    <xf numFmtId="164" fontId="10" fillId="2" borderId="47" xfId="1" applyNumberFormat="1" applyFont="1" applyFill="1" applyBorder="1" applyAlignment="1">
      <alignment horizontal="center" vertical="center" wrapText="1"/>
    </xf>
    <xf numFmtId="4" fontId="10" fillId="2" borderId="37" xfId="1" applyNumberFormat="1" applyFont="1" applyFill="1" applyBorder="1" applyAlignment="1">
      <alignment horizontal="center" vertical="center" wrapText="1"/>
    </xf>
    <xf numFmtId="164" fontId="10" fillId="2" borderId="37" xfId="1" applyNumberFormat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 wrapText="1"/>
    </xf>
    <xf numFmtId="164" fontId="10" fillId="0" borderId="4" xfId="1" applyNumberFormat="1" applyFont="1" applyFill="1" applyBorder="1" applyAlignment="1">
      <alignment horizontal="center" vertical="center" wrapText="1"/>
    </xf>
    <xf numFmtId="164" fontId="10" fillId="0" borderId="24" xfId="1" applyNumberFormat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164" fontId="10" fillId="0" borderId="23" xfId="1" applyNumberFormat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64" fontId="10" fillId="2" borderId="25" xfId="1" applyNumberFormat="1" applyFont="1" applyFill="1" applyBorder="1" applyAlignment="1">
      <alignment horizontal="center" vertical="center" wrapText="1"/>
    </xf>
    <xf numFmtId="0" fontId="10" fillId="0" borderId="46" xfId="1" applyFont="1" applyFill="1" applyBorder="1" applyAlignment="1">
      <alignment horizontal="center" vertical="center" wrapText="1"/>
    </xf>
    <xf numFmtId="164" fontId="10" fillId="0" borderId="49" xfId="1" applyNumberFormat="1" applyFont="1" applyFill="1" applyBorder="1" applyAlignment="1">
      <alignment horizontal="center" vertical="center" wrapText="1"/>
    </xf>
    <xf numFmtId="164" fontId="10" fillId="0" borderId="48" xfId="1" applyNumberFormat="1" applyFont="1" applyFill="1" applyBorder="1" applyAlignment="1">
      <alignment horizontal="center" vertical="center" wrapText="1"/>
    </xf>
    <xf numFmtId="0" fontId="10" fillId="0" borderId="22" xfId="3" applyNumberFormat="1" applyFont="1" applyFill="1" applyBorder="1" applyAlignment="1">
      <alignment vertical="center" wrapText="1"/>
    </xf>
    <xf numFmtId="165" fontId="10" fillId="0" borderId="26" xfId="1" applyNumberFormat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164" fontId="10" fillId="0" borderId="14" xfId="1" applyNumberFormat="1" applyFont="1" applyFill="1" applyBorder="1" applyAlignment="1">
      <alignment horizontal="center" vertical="center" wrapText="1"/>
    </xf>
    <xf numFmtId="164" fontId="10" fillId="4" borderId="10" xfId="1" applyNumberFormat="1" applyFont="1" applyFill="1" applyBorder="1" applyAlignment="1">
      <alignment horizontal="center" vertical="center" wrapText="1"/>
    </xf>
    <xf numFmtId="164" fontId="10" fillId="4" borderId="49" xfId="1" applyNumberFormat="1" applyFont="1" applyFill="1" applyBorder="1" applyAlignment="1">
      <alignment horizontal="center" vertical="center" wrapText="1"/>
    </xf>
    <xf numFmtId="164" fontId="10" fillId="4" borderId="21" xfId="1" applyNumberFormat="1" applyFont="1" applyFill="1" applyBorder="1" applyAlignment="1">
      <alignment horizontal="center" vertical="center" wrapText="1"/>
    </xf>
    <xf numFmtId="164" fontId="10" fillId="4" borderId="27" xfId="1" applyNumberFormat="1" applyFont="1" applyFill="1" applyBorder="1" applyAlignment="1">
      <alignment horizontal="center" vertical="center" wrapText="1"/>
    </xf>
    <xf numFmtId="4" fontId="10" fillId="4" borderId="37" xfId="1" applyNumberFormat="1" applyFont="1" applyFill="1" applyBorder="1" applyAlignment="1">
      <alignment horizontal="center" vertical="center" wrapText="1"/>
    </xf>
    <xf numFmtId="164" fontId="10" fillId="4" borderId="25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/>
    <xf numFmtId="164" fontId="10" fillId="3" borderId="36" xfId="1" applyNumberFormat="1" applyFont="1" applyFill="1" applyBorder="1" applyAlignment="1">
      <alignment horizontal="center" vertical="center" wrapText="1"/>
    </xf>
    <xf numFmtId="164" fontId="10" fillId="3" borderId="46" xfId="1" applyNumberFormat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64" fontId="11" fillId="0" borderId="5" xfId="1" applyNumberFormat="1" applyFont="1" applyFill="1" applyBorder="1" applyAlignment="1">
      <alignment vertical="center" wrapText="1"/>
    </xf>
    <xf numFmtId="164" fontId="10" fillId="5" borderId="19" xfId="1" applyNumberFormat="1" applyFont="1" applyFill="1" applyBorder="1" applyAlignment="1">
      <alignment horizontal="center" vertical="center" wrapText="1"/>
    </xf>
    <xf numFmtId="164" fontId="10" fillId="6" borderId="7" xfId="1" applyNumberFormat="1" applyFont="1" applyFill="1" applyBorder="1" applyAlignment="1">
      <alignment horizontal="center" vertical="center" wrapText="1"/>
    </xf>
    <xf numFmtId="164" fontId="10" fillId="6" borderId="34" xfId="1" applyNumberFormat="1" applyFont="1" applyFill="1" applyBorder="1" applyAlignment="1">
      <alignment horizontal="center" vertical="center" wrapText="1"/>
    </xf>
    <xf numFmtId="164" fontId="10" fillId="6" borderId="19" xfId="1" applyNumberFormat="1" applyFont="1" applyFill="1" applyBorder="1" applyAlignment="1">
      <alignment horizontal="center" vertical="center" wrapText="1"/>
    </xf>
    <xf numFmtId="165" fontId="10" fillId="6" borderId="19" xfId="1" applyNumberFormat="1" applyFont="1" applyFill="1" applyBorder="1" applyAlignment="1">
      <alignment horizontal="center" vertical="center" wrapText="1"/>
    </xf>
    <xf numFmtId="164" fontId="10" fillId="7" borderId="19" xfId="1" applyNumberFormat="1" applyFont="1" applyFill="1" applyBorder="1" applyAlignment="1">
      <alignment horizontal="center" vertical="center" wrapText="1"/>
    </xf>
    <xf numFmtId="164" fontId="10" fillId="7" borderId="26" xfId="1" applyNumberFormat="1" applyFont="1" applyFill="1" applyBorder="1" applyAlignment="1">
      <alignment horizontal="center" vertical="center" wrapText="1"/>
    </xf>
    <xf numFmtId="0" fontId="8" fillId="0" borderId="11" xfId="1" applyFont="1" applyBorder="1"/>
    <xf numFmtId="164" fontId="10" fillId="0" borderId="10" xfId="1" applyNumberFormat="1" applyFont="1" applyFill="1" applyBorder="1" applyAlignment="1">
      <alignment horizontal="center" vertical="center" wrapText="1"/>
    </xf>
    <xf numFmtId="4" fontId="10" fillId="0" borderId="37" xfId="1" applyNumberFormat="1" applyFont="1" applyFill="1" applyBorder="1" applyAlignment="1">
      <alignment horizontal="center" vertical="center" wrapText="1"/>
    </xf>
    <xf numFmtId="164" fontId="10" fillId="0" borderId="46" xfId="1" applyNumberFormat="1" applyFont="1" applyFill="1" applyBorder="1" applyAlignment="1">
      <alignment horizontal="center" vertical="center" wrapText="1"/>
    </xf>
    <xf numFmtId="164" fontId="10" fillId="0" borderId="47" xfId="1" applyNumberFormat="1" applyFont="1" applyFill="1" applyBorder="1" applyAlignment="1">
      <alignment horizontal="center" vertical="center" wrapText="1"/>
    </xf>
    <xf numFmtId="164" fontId="10" fillId="0" borderId="27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0" fontId="28" fillId="0" borderId="4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vertical="center" wrapText="1"/>
    </xf>
    <xf numFmtId="164" fontId="10" fillId="0" borderId="23" xfId="1" applyNumberFormat="1" applyFont="1" applyFill="1" applyBorder="1" applyAlignment="1">
      <alignment horizontal="center" vertical="center" wrapText="1"/>
    </xf>
    <xf numFmtId="164" fontId="10" fillId="0" borderId="24" xfId="1" applyNumberFormat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 applyAlignment="1">
      <alignment horizontal="center" vertical="center" wrapText="1"/>
    </xf>
    <xf numFmtId="165" fontId="10" fillId="0" borderId="24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164" fontId="10" fillId="8" borderId="26" xfId="1" applyNumberFormat="1" applyFont="1" applyFill="1" applyBorder="1" applyAlignment="1">
      <alignment horizontal="center" vertical="center" wrapText="1"/>
    </xf>
    <xf numFmtId="164" fontId="10" fillId="8" borderId="19" xfId="1" applyNumberFormat="1" applyFont="1" applyFill="1" applyBorder="1" applyAlignment="1">
      <alignment horizontal="center" vertical="center" wrapText="1"/>
    </xf>
    <xf numFmtId="164" fontId="10" fillId="0" borderId="51" xfId="1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>
      <alignment vertical="center" wrapText="1"/>
    </xf>
    <xf numFmtId="0" fontId="10" fillId="0" borderId="48" xfId="1" applyFont="1" applyFill="1" applyBorder="1" applyAlignment="1">
      <alignment horizontal="center" vertical="center" wrapText="1"/>
    </xf>
    <xf numFmtId="4" fontId="8" fillId="0" borderId="0" xfId="1" applyNumberFormat="1" applyFont="1"/>
    <xf numFmtId="0" fontId="10" fillId="0" borderId="6" xfId="3" applyNumberFormat="1" applyFont="1" applyFill="1" applyBorder="1" applyAlignment="1">
      <alignment vertical="center" wrapText="1"/>
    </xf>
    <xf numFmtId="164" fontId="8" fillId="0" borderId="0" xfId="1" applyNumberFormat="1" applyFont="1"/>
    <xf numFmtId="164" fontId="10" fillId="0" borderId="19" xfId="1" applyNumberFormat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5" fontId="10" fillId="0" borderId="24" xfId="1" applyNumberFormat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164" fontId="10" fillId="2" borderId="24" xfId="1" applyNumberFormat="1" applyFont="1" applyFill="1" applyBorder="1" applyAlignment="1">
      <alignment horizontal="center" vertical="center" wrapText="1"/>
    </xf>
    <xf numFmtId="164" fontId="10" fillId="2" borderId="26" xfId="1" applyNumberFormat="1" applyFont="1" applyFill="1" applyBorder="1" applyAlignment="1">
      <alignment horizontal="center" vertical="center" wrapText="1"/>
    </xf>
    <xf numFmtId="4" fontId="10" fillId="0" borderId="21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64" fontId="10" fillId="0" borderId="23" xfId="1" applyNumberFormat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 applyAlignment="1">
      <alignment horizontal="center" vertical="center" wrapText="1"/>
    </xf>
    <xf numFmtId="164" fontId="10" fillId="0" borderId="14" xfId="1" applyNumberFormat="1" applyFont="1" applyFill="1" applyBorder="1" applyAlignment="1">
      <alignment horizontal="center" vertical="center" wrapText="1"/>
    </xf>
    <xf numFmtId="4" fontId="10" fillId="0" borderId="39" xfId="0" applyNumberFormat="1" applyFont="1" applyFill="1" applyBorder="1" applyAlignment="1">
      <alignment horizontal="right" vertical="center" wrapText="1"/>
    </xf>
    <xf numFmtId="0" fontId="28" fillId="0" borderId="39" xfId="0" applyFont="1" applyFill="1" applyBorder="1" applyAlignment="1">
      <alignment horizontal="right" vertical="center" wrapText="1"/>
    </xf>
    <xf numFmtId="4" fontId="28" fillId="0" borderId="39" xfId="0" applyNumberFormat="1" applyFont="1" applyFill="1" applyBorder="1" applyAlignment="1">
      <alignment horizontal="right" vertical="center" wrapText="1"/>
    </xf>
    <xf numFmtId="4" fontId="10" fillId="0" borderId="40" xfId="0" applyNumberFormat="1" applyFont="1" applyFill="1" applyBorder="1" applyAlignment="1">
      <alignment horizontal="right" vertical="center" wrapText="1"/>
    </xf>
    <xf numFmtId="4" fontId="8" fillId="0" borderId="0" xfId="1" applyNumberFormat="1" applyFont="1" applyFill="1"/>
    <xf numFmtId="164" fontId="10" fillId="0" borderId="52" xfId="1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 wrapText="1"/>
    </xf>
    <xf numFmtId="4" fontId="11" fillId="0" borderId="29" xfId="1" applyNumberFormat="1" applyFont="1" applyFill="1" applyBorder="1" applyAlignment="1">
      <alignment horizontal="center" vertical="center" wrapText="1"/>
    </xf>
    <xf numFmtId="4" fontId="10" fillId="0" borderId="29" xfId="1" applyNumberFormat="1" applyFont="1" applyFill="1" applyBorder="1" applyAlignment="1">
      <alignment horizontal="center" vertical="center" wrapText="1"/>
    </xf>
    <xf numFmtId="4" fontId="11" fillId="0" borderId="30" xfId="1" applyNumberFormat="1" applyFont="1" applyFill="1" applyBorder="1" applyAlignment="1">
      <alignment horizontal="center" vertical="center" wrapText="1"/>
    </xf>
    <xf numFmtId="4" fontId="10" fillId="0" borderId="17" xfId="1" applyNumberFormat="1" applyFont="1" applyFill="1" applyBorder="1" applyAlignment="1">
      <alignment horizontal="center" vertical="center" wrapText="1"/>
    </xf>
    <xf numFmtId="4" fontId="10" fillId="0" borderId="25" xfId="1" applyNumberFormat="1" applyFont="1" applyFill="1" applyBorder="1" applyAlignment="1">
      <alignment horizontal="center" vertical="center" wrapText="1"/>
    </xf>
    <xf numFmtId="4" fontId="10" fillId="0" borderId="49" xfId="1" applyNumberFormat="1" applyFont="1" applyFill="1" applyBorder="1" applyAlignment="1">
      <alignment horizontal="center" vertical="center" wrapText="1"/>
    </xf>
    <xf numFmtId="4" fontId="10" fillId="0" borderId="15" xfId="1" applyNumberFormat="1" applyFont="1" applyFill="1" applyBorder="1" applyAlignment="1">
      <alignment horizontal="center" vertical="center" wrapText="1"/>
    </xf>
    <xf numFmtId="4" fontId="10" fillId="0" borderId="46" xfId="1" applyNumberFormat="1" applyFont="1" applyFill="1" applyBorder="1" applyAlignment="1">
      <alignment horizontal="center" vertical="center" wrapText="1"/>
    </xf>
    <xf numFmtId="4" fontId="10" fillId="0" borderId="35" xfId="1" applyNumberFormat="1" applyFont="1" applyFill="1" applyBorder="1" applyAlignment="1">
      <alignment horizontal="center" vertical="center" wrapText="1"/>
    </xf>
    <xf numFmtId="4" fontId="10" fillId="0" borderId="36" xfId="1" applyNumberFormat="1" applyFont="1" applyFill="1" applyBorder="1" applyAlignment="1">
      <alignment horizontal="center" vertical="center" wrapText="1"/>
    </xf>
    <xf numFmtId="4" fontId="10" fillId="0" borderId="34" xfId="1" applyNumberFormat="1" applyFont="1" applyFill="1" applyBorder="1" applyAlignment="1">
      <alignment horizontal="center" vertical="center" wrapText="1"/>
    </xf>
    <xf numFmtId="4" fontId="10" fillId="0" borderId="31" xfId="1" applyNumberFormat="1" applyFont="1" applyFill="1" applyBorder="1" applyAlignment="1">
      <alignment horizontal="center" vertical="center" wrapText="1"/>
    </xf>
    <xf numFmtId="4" fontId="10" fillId="0" borderId="38" xfId="1" applyNumberFormat="1" applyFont="1" applyFill="1" applyBorder="1" applyAlignment="1">
      <alignment horizontal="center" vertical="center" wrapText="1"/>
    </xf>
    <xf numFmtId="0" fontId="4" fillId="0" borderId="0" xfId="1" applyFont="1"/>
    <xf numFmtId="4" fontId="11" fillId="0" borderId="8" xfId="1" applyNumberFormat="1" applyFont="1" applyFill="1" applyBorder="1" applyAlignment="1">
      <alignment horizontal="center" vertical="center" wrapText="1"/>
    </xf>
    <xf numFmtId="4" fontId="11" fillId="0" borderId="17" xfId="1" applyNumberFormat="1" applyFont="1" applyFill="1" applyBorder="1" applyAlignment="1">
      <alignment horizontal="center" vertical="center" wrapText="1"/>
    </xf>
    <xf numFmtId="164" fontId="10" fillId="0" borderId="56" xfId="1" applyNumberFormat="1" applyFont="1" applyFill="1" applyBorder="1" applyAlignment="1">
      <alignment horizontal="center" vertical="center" wrapText="1"/>
    </xf>
    <xf numFmtId="4" fontId="10" fillId="0" borderId="51" xfId="1" applyNumberFormat="1" applyFont="1" applyFill="1" applyBorder="1" applyAlignment="1">
      <alignment horizontal="center" vertical="center" wrapText="1"/>
    </xf>
    <xf numFmtId="0" fontId="10" fillId="0" borderId="14" xfId="3" applyNumberFormat="1" applyFont="1" applyFill="1" applyBorder="1" applyAlignment="1">
      <alignment vertical="center" wrapText="1"/>
    </xf>
    <xf numFmtId="2" fontId="10" fillId="0" borderId="14" xfId="1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4" fontId="6" fillId="0" borderId="0" xfId="1" applyNumberFormat="1"/>
    <xf numFmtId="0" fontId="3" fillId="0" borderId="0" xfId="1" applyFont="1"/>
    <xf numFmtId="4" fontId="10" fillId="7" borderId="51" xfId="1" applyNumberFormat="1" applyFont="1" applyFill="1" applyBorder="1" applyAlignment="1">
      <alignment horizontal="center" vertical="center" wrapText="1"/>
    </xf>
    <xf numFmtId="0" fontId="10" fillId="0" borderId="22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4" fontId="10" fillId="0" borderId="23" xfId="1" applyNumberFormat="1" applyFont="1" applyFill="1" applyBorder="1" applyAlignment="1">
      <alignment horizontal="center" vertical="center" wrapText="1"/>
    </xf>
    <xf numFmtId="4" fontId="10" fillId="0" borderId="24" xfId="1" applyNumberFormat="1" applyFont="1" applyFill="1" applyBorder="1" applyAlignment="1">
      <alignment horizontal="center" vertical="center" wrapText="1"/>
    </xf>
    <xf numFmtId="4" fontId="10" fillId="0" borderId="26" xfId="1" applyNumberFormat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164" fontId="10" fillId="0" borderId="23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4" fontId="10" fillId="0" borderId="14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4" fontId="10" fillId="0" borderId="24" xfId="1" applyNumberFormat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4" fontId="10" fillId="0" borderId="4" xfId="1" applyNumberFormat="1" applyFont="1" applyFill="1" applyBorder="1" applyAlignment="1">
      <alignment horizontal="center" vertical="center" wrapText="1"/>
    </xf>
    <xf numFmtId="4" fontId="10" fillId="0" borderId="8" xfId="1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165" fontId="10" fillId="0" borderId="24" xfId="1" applyNumberFormat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10" fillId="0" borderId="44" xfId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0" fontId="10" fillId="0" borderId="46" xfId="1" applyFont="1" applyFill="1" applyBorder="1" applyAlignment="1">
      <alignment horizontal="center" vertical="center" wrapText="1"/>
    </xf>
    <xf numFmtId="164" fontId="10" fillId="0" borderId="14" xfId="1" applyNumberFormat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1" fontId="8" fillId="0" borderId="0" xfId="1" applyNumberFormat="1" applyFont="1"/>
    <xf numFmtId="166" fontId="8" fillId="0" borderId="0" xfId="9" applyNumberFormat="1" applyFont="1"/>
    <xf numFmtId="164" fontId="10" fillId="0" borderId="30" xfId="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0" fillId="0" borderId="0" xfId="0" applyFill="1"/>
    <xf numFmtId="0" fontId="11" fillId="0" borderId="4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vertical="center" wrapText="1"/>
    </xf>
    <xf numFmtId="0" fontId="28" fillId="0" borderId="41" xfId="0" applyFont="1" applyFill="1" applyBorder="1" applyAlignment="1">
      <alignment vertical="center" wrapText="1"/>
    </xf>
    <xf numFmtId="0" fontId="10" fillId="7" borderId="19" xfId="1" applyFont="1" applyFill="1" applyBorder="1" applyAlignment="1">
      <alignment horizontal="center" vertical="center" wrapText="1"/>
    </xf>
    <xf numFmtId="164" fontId="10" fillId="7" borderId="24" xfId="1" applyNumberFormat="1" applyFont="1" applyFill="1" applyBorder="1" applyAlignment="1">
      <alignment horizontal="center" vertical="center" wrapText="1"/>
    </xf>
    <xf numFmtId="4" fontId="10" fillId="7" borderId="19" xfId="1" applyNumberFormat="1" applyFont="1" applyFill="1" applyBorder="1" applyAlignment="1">
      <alignment horizontal="center" vertical="center" wrapText="1"/>
    </xf>
    <xf numFmtId="0" fontId="10" fillId="7" borderId="46" xfId="1" applyFont="1" applyFill="1" applyBorder="1" applyAlignment="1">
      <alignment horizontal="center" vertical="center" wrapText="1"/>
    </xf>
    <xf numFmtId="0" fontId="10" fillId="7" borderId="24" xfId="1" applyFont="1" applyFill="1" applyBorder="1" applyAlignment="1">
      <alignment horizontal="center" vertical="center" wrapText="1"/>
    </xf>
    <xf numFmtId="4" fontId="10" fillId="7" borderId="46" xfId="1" applyNumberFormat="1" applyFont="1" applyFill="1" applyBorder="1" applyAlignment="1">
      <alignment horizontal="center" vertical="center" wrapText="1"/>
    </xf>
    <xf numFmtId="0" fontId="2" fillId="0" borderId="0" xfId="1" applyFont="1"/>
    <xf numFmtId="164" fontId="10" fillId="0" borderId="59" xfId="1" applyNumberFormat="1" applyFont="1" applyFill="1" applyBorder="1" applyAlignment="1">
      <alignment horizontal="center" vertical="center" wrapText="1"/>
    </xf>
    <xf numFmtId="0" fontId="10" fillId="7" borderId="0" xfId="1" applyFont="1" applyFill="1" applyBorder="1" applyAlignment="1">
      <alignment horizontal="center" vertical="center" wrapText="1"/>
    </xf>
    <xf numFmtId="164" fontId="10" fillId="7" borderId="23" xfId="1" applyNumberFormat="1" applyFont="1" applyFill="1" applyBorder="1" applyAlignment="1">
      <alignment horizontal="center" vertical="center" wrapText="1"/>
    </xf>
    <xf numFmtId="164" fontId="6" fillId="0" borderId="0" xfId="1" applyNumberFormat="1"/>
    <xf numFmtId="164" fontId="30" fillId="0" borderId="14" xfId="1" applyNumberFormat="1" applyFont="1" applyFill="1" applyBorder="1" applyAlignment="1">
      <alignment horizontal="center" vertical="center" wrapText="1"/>
    </xf>
    <xf numFmtId="4" fontId="30" fillId="0" borderId="14" xfId="1" applyNumberFormat="1" applyFont="1" applyFill="1" applyBorder="1" applyAlignment="1">
      <alignment horizontal="center" vertical="center" wrapText="1"/>
    </xf>
    <xf numFmtId="4" fontId="30" fillId="0" borderId="15" xfId="1" applyNumberFormat="1" applyFont="1" applyFill="1" applyBorder="1" applyAlignment="1">
      <alignment horizontal="center" vertical="center" wrapText="1"/>
    </xf>
    <xf numFmtId="164" fontId="30" fillId="0" borderId="7" xfId="1" applyNumberFormat="1" applyFont="1" applyFill="1" applyBorder="1" applyAlignment="1">
      <alignment horizontal="center" vertical="center" wrapText="1"/>
    </xf>
    <xf numFmtId="4" fontId="30" fillId="0" borderId="7" xfId="1" applyNumberFormat="1" applyFont="1" applyFill="1" applyBorder="1" applyAlignment="1">
      <alignment horizontal="center" vertical="center" wrapText="1"/>
    </xf>
    <xf numFmtId="4" fontId="30" fillId="0" borderId="10" xfId="1" applyNumberFormat="1" applyFont="1" applyFill="1" applyBorder="1" applyAlignment="1">
      <alignment horizontal="center" vertical="center" wrapText="1"/>
    </xf>
    <xf numFmtId="0" fontId="30" fillId="0" borderId="28" xfId="1" applyFont="1" applyBorder="1" applyAlignment="1">
      <alignment vertical="center" wrapText="1"/>
    </xf>
    <xf numFmtId="0" fontId="30" fillId="0" borderId="29" xfId="1" applyFont="1" applyFill="1" applyBorder="1" applyAlignment="1">
      <alignment horizontal="center" vertical="center" wrapText="1"/>
    </xf>
    <xf numFmtId="4" fontId="30" fillId="0" borderId="29" xfId="1" applyNumberFormat="1" applyFont="1" applyFill="1" applyBorder="1" applyAlignment="1">
      <alignment horizontal="center" vertical="center" wrapText="1"/>
    </xf>
    <xf numFmtId="164" fontId="30" fillId="0" borderId="29" xfId="1" applyNumberFormat="1" applyFont="1" applyFill="1" applyBorder="1" applyAlignment="1">
      <alignment horizontal="center" vertical="center" wrapText="1"/>
    </xf>
    <xf numFmtId="4" fontId="30" fillId="0" borderId="30" xfId="1" applyNumberFormat="1" applyFont="1" applyFill="1" applyBorder="1" applyAlignment="1">
      <alignment horizontal="center" vertical="center" wrapText="1"/>
    </xf>
    <xf numFmtId="0" fontId="30" fillId="0" borderId="28" xfId="1" applyFont="1" applyFill="1" applyBorder="1" applyAlignment="1">
      <alignment vertical="center" wrapText="1"/>
    </xf>
    <xf numFmtId="164" fontId="30" fillId="0" borderId="19" xfId="1" applyNumberFormat="1" applyFont="1" applyFill="1" applyBorder="1" applyAlignment="1">
      <alignment horizontal="center" vertical="center" wrapText="1"/>
    </xf>
    <xf numFmtId="4" fontId="30" fillId="0" borderId="19" xfId="1" applyNumberFormat="1" applyFont="1" applyFill="1" applyBorder="1" applyAlignment="1">
      <alignment horizontal="center" vertical="center" wrapText="1"/>
    </xf>
    <xf numFmtId="4" fontId="30" fillId="0" borderId="21" xfId="1" applyNumberFormat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30" fillId="0" borderId="7" xfId="1" applyFont="1" applyFill="1" applyBorder="1" applyAlignment="1">
      <alignment horizontal="center" vertical="center" wrapText="1"/>
    </xf>
    <xf numFmtId="0" fontId="30" fillId="0" borderId="28" xfId="3" applyNumberFormat="1" applyFont="1" applyFill="1" applyBorder="1" applyAlignment="1">
      <alignment horizontal="center" vertical="center" wrapText="1"/>
    </xf>
    <xf numFmtId="0" fontId="31" fillId="0" borderId="6" xfId="1" applyFont="1" applyFill="1" applyBorder="1" applyAlignment="1">
      <alignment horizontal="center" vertical="center" wrapText="1"/>
    </xf>
    <xf numFmtId="0" fontId="31" fillId="0" borderId="8" xfId="1" applyFont="1" applyFill="1" applyBorder="1" applyAlignment="1">
      <alignment horizontal="center" vertical="center" wrapText="1"/>
    </xf>
    <xf numFmtId="4" fontId="31" fillId="0" borderId="8" xfId="1" applyNumberFormat="1" applyFont="1" applyFill="1" applyBorder="1" applyAlignment="1">
      <alignment horizontal="center" vertical="center" wrapText="1"/>
    </xf>
    <xf numFmtId="4" fontId="30" fillId="0" borderId="8" xfId="1" applyNumberFormat="1" applyFont="1" applyFill="1" applyBorder="1" applyAlignment="1">
      <alignment horizontal="center" vertical="center" wrapText="1"/>
    </xf>
    <xf numFmtId="4" fontId="31" fillId="0" borderId="17" xfId="1" applyNumberFormat="1" applyFont="1" applyFill="1" applyBorder="1" applyAlignment="1">
      <alignment horizontal="center" vertical="center" wrapText="1"/>
    </xf>
    <xf numFmtId="0" fontId="31" fillId="0" borderId="28" xfId="1" applyFont="1" applyFill="1" applyBorder="1" applyAlignment="1">
      <alignment horizontal="center" vertical="center" wrapText="1"/>
    </xf>
    <xf numFmtId="0" fontId="31" fillId="0" borderId="29" xfId="1" applyFont="1" applyFill="1" applyBorder="1" applyAlignment="1">
      <alignment horizontal="center" vertical="center" wrapText="1"/>
    </xf>
    <xf numFmtId="4" fontId="31" fillId="0" borderId="29" xfId="1" applyNumberFormat="1" applyFont="1" applyFill="1" applyBorder="1" applyAlignment="1">
      <alignment horizontal="center" vertical="center" wrapText="1"/>
    </xf>
    <xf numFmtId="4" fontId="31" fillId="0" borderId="30" xfId="1" applyNumberFormat="1" applyFont="1" applyFill="1" applyBorder="1" applyAlignment="1">
      <alignment horizontal="center" vertical="center" wrapText="1"/>
    </xf>
    <xf numFmtId="164" fontId="30" fillId="0" borderId="19" xfId="1" applyNumberFormat="1" applyFont="1" applyFill="1" applyBorder="1" applyAlignment="1">
      <alignment horizontal="center" vertical="center" wrapText="1"/>
    </xf>
    <xf numFmtId="164" fontId="30" fillId="0" borderId="21" xfId="1" applyNumberFormat="1" applyFont="1" applyFill="1" applyBorder="1" applyAlignment="1">
      <alignment horizontal="center" vertical="center" wrapText="1"/>
    </xf>
    <xf numFmtId="164" fontId="30" fillId="0" borderId="23" xfId="1" applyNumberFormat="1" applyFont="1" applyFill="1" applyBorder="1" applyAlignment="1">
      <alignment horizontal="center" vertical="center" wrapText="1"/>
    </xf>
    <xf numFmtId="4" fontId="30" fillId="0" borderId="23" xfId="1" applyNumberFormat="1" applyFont="1" applyFill="1" applyBorder="1" applyAlignment="1">
      <alignment horizontal="center" vertical="center" wrapText="1"/>
    </xf>
    <xf numFmtId="4" fontId="30" fillId="0" borderId="51" xfId="1" applyNumberFormat="1" applyFont="1" applyFill="1" applyBorder="1" applyAlignment="1">
      <alignment horizontal="center" vertical="center" wrapText="1"/>
    </xf>
    <xf numFmtId="0" fontId="30" fillId="0" borderId="14" xfId="3" applyNumberFormat="1" applyFont="1" applyFill="1" applyBorder="1" applyAlignment="1">
      <alignment vertical="center" wrapText="1"/>
    </xf>
    <xf numFmtId="0" fontId="30" fillId="0" borderId="14" xfId="1" applyFont="1" applyFill="1" applyBorder="1" applyAlignment="1">
      <alignment horizontal="center" vertical="center" wrapText="1"/>
    </xf>
    <xf numFmtId="2" fontId="30" fillId="0" borderId="14" xfId="1" applyNumberFormat="1" applyFont="1" applyFill="1" applyBorder="1" applyAlignment="1">
      <alignment horizontal="center" vertical="center" wrapText="1"/>
    </xf>
    <xf numFmtId="0" fontId="30" fillId="0" borderId="19" xfId="3" applyNumberFormat="1" applyFont="1" applyFill="1" applyBorder="1" applyAlignment="1">
      <alignment vertical="center" wrapText="1"/>
    </xf>
    <xf numFmtId="2" fontId="30" fillId="0" borderId="19" xfId="1" applyNumberFormat="1" applyFont="1" applyFill="1" applyBorder="1" applyAlignment="1">
      <alignment horizontal="center" vertical="center" wrapText="1"/>
    </xf>
    <xf numFmtId="0" fontId="30" fillId="0" borderId="23" xfId="1" applyFont="1" applyFill="1" applyBorder="1" applyAlignment="1">
      <alignment horizontal="center" vertical="center" wrapText="1"/>
    </xf>
    <xf numFmtId="164" fontId="30" fillId="0" borderId="15" xfId="1" applyNumberFormat="1" applyFont="1" applyFill="1" applyBorder="1" applyAlignment="1">
      <alignment horizontal="center" vertical="center" wrapText="1"/>
    </xf>
    <xf numFmtId="164" fontId="30" fillId="0" borderId="51" xfId="1" applyNumberFormat="1" applyFont="1" applyFill="1" applyBorder="1" applyAlignment="1">
      <alignment horizontal="center" vertical="center" wrapText="1"/>
    </xf>
    <xf numFmtId="165" fontId="30" fillId="0" borderId="19" xfId="1" applyNumberFormat="1" applyFont="1" applyFill="1" applyBorder="1" applyAlignment="1">
      <alignment horizontal="center" vertical="center" wrapText="1"/>
    </xf>
    <xf numFmtId="164" fontId="30" fillId="0" borderId="14" xfId="1" applyNumberFormat="1" applyFont="1" applyFill="1" applyBorder="1" applyAlignment="1">
      <alignment horizontal="center" vertical="center" wrapText="1"/>
    </xf>
    <xf numFmtId="165" fontId="30" fillId="0" borderId="14" xfId="1" applyNumberFormat="1" applyFont="1" applyFill="1" applyBorder="1" applyAlignment="1">
      <alignment horizontal="center" vertical="center" wrapText="1"/>
    </xf>
    <xf numFmtId="0" fontId="30" fillId="0" borderId="26" xfId="1" applyFont="1" applyFill="1" applyBorder="1" applyAlignment="1">
      <alignment horizontal="center" vertical="center" wrapText="1"/>
    </xf>
    <xf numFmtId="4" fontId="30" fillId="0" borderId="26" xfId="1" applyNumberFormat="1" applyFont="1" applyFill="1" applyBorder="1" applyAlignment="1">
      <alignment horizontal="center" vertical="center" wrapText="1"/>
    </xf>
    <xf numFmtId="164" fontId="30" fillId="0" borderId="26" xfId="1" applyNumberFormat="1" applyFont="1" applyFill="1" applyBorder="1" applyAlignment="1">
      <alignment horizontal="center" vertical="center" wrapText="1"/>
    </xf>
    <xf numFmtId="4" fontId="30" fillId="0" borderId="25" xfId="1" applyNumberFormat="1" applyFont="1" applyFill="1" applyBorder="1" applyAlignment="1">
      <alignment horizontal="center" vertical="center" wrapText="1"/>
    </xf>
    <xf numFmtId="4" fontId="30" fillId="0" borderId="36" xfId="1" applyNumberFormat="1" applyFont="1" applyFill="1" applyBorder="1" applyAlignment="1">
      <alignment horizontal="center" vertical="center" wrapText="1"/>
    </xf>
    <xf numFmtId="4" fontId="30" fillId="0" borderId="37" xfId="1" applyNumberFormat="1" applyFont="1" applyFill="1" applyBorder="1" applyAlignment="1">
      <alignment horizontal="center" vertical="center" wrapText="1"/>
    </xf>
    <xf numFmtId="164" fontId="30" fillId="0" borderId="24" xfId="1" applyNumberFormat="1" applyFont="1" applyFill="1" applyBorder="1" applyAlignment="1">
      <alignment horizontal="center" vertical="center" wrapText="1"/>
    </xf>
    <xf numFmtId="164" fontId="30" fillId="0" borderId="37" xfId="1" applyNumberFormat="1" applyFont="1" applyFill="1" applyBorder="1" applyAlignment="1">
      <alignment horizontal="center" vertical="center" wrapText="1"/>
    </xf>
    <xf numFmtId="0" fontId="30" fillId="0" borderId="24" xfId="1" applyFont="1" applyFill="1" applyBorder="1" applyAlignment="1">
      <alignment horizontal="center" vertical="center" wrapText="1"/>
    </xf>
    <xf numFmtId="164" fontId="30" fillId="0" borderId="46" xfId="1" applyNumberFormat="1" applyFont="1" applyFill="1" applyBorder="1" applyAlignment="1">
      <alignment horizontal="center" vertical="center" wrapText="1"/>
    </xf>
    <xf numFmtId="4" fontId="30" fillId="0" borderId="47" xfId="1" applyNumberFormat="1" applyFont="1" applyFill="1" applyBorder="1" applyAlignment="1">
      <alignment horizontal="center" vertical="center" wrapText="1"/>
    </xf>
    <xf numFmtId="164" fontId="30" fillId="0" borderId="7" xfId="1" applyNumberFormat="1" applyFont="1" applyFill="1" applyBorder="1" applyAlignment="1">
      <alignment horizontal="center" vertical="center" wrapText="1"/>
    </xf>
    <xf numFmtId="164" fontId="30" fillId="0" borderId="25" xfId="1" applyNumberFormat="1" applyFont="1" applyFill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164" fontId="30" fillId="0" borderId="17" xfId="1" applyNumberFormat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4" fontId="30" fillId="0" borderId="4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center" vertical="center" wrapText="1"/>
    </xf>
    <xf numFmtId="164" fontId="31" fillId="0" borderId="0" xfId="1" applyNumberFormat="1" applyFont="1" applyFill="1" applyBorder="1" applyAlignment="1">
      <alignment horizontal="center" vertical="center" wrapText="1"/>
    </xf>
    <xf numFmtId="164" fontId="30" fillId="0" borderId="0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7" fillId="0" borderId="0" xfId="0" applyFont="1"/>
    <xf numFmtId="0" fontId="31" fillId="0" borderId="40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0" fillId="0" borderId="41" xfId="0" applyFont="1" applyBorder="1" applyAlignment="1">
      <alignment vertical="center" wrapText="1"/>
    </xf>
    <xf numFmtId="4" fontId="30" fillId="0" borderId="39" xfId="0" applyNumberFormat="1" applyFont="1" applyFill="1" applyBorder="1" applyAlignment="1">
      <alignment horizontal="right" vertical="center" wrapText="1"/>
    </xf>
    <xf numFmtId="0" fontId="1" fillId="0" borderId="0" xfId="1" applyFont="1"/>
    <xf numFmtId="0" fontId="34" fillId="0" borderId="41" xfId="0" applyFont="1" applyBorder="1" applyAlignment="1">
      <alignment vertical="center" wrapText="1"/>
    </xf>
    <xf numFmtId="0" fontId="34" fillId="0" borderId="39" xfId="0" applyFont="1" applyFill="1" applyBorder="1" applyAlignment="1">
      <alignment horizontal="right" vertical="center" wrapText="1"/>
    </xf>
    <xf numFmtId="4" fontId="34" fillId="0" borderId="39" xfId="0" applyNumberFormat="1" applyFont="1" applyFill="1" applyBorder="1" applyAlignment="1">
      <alignment horizontal="right" vertical="center" wrapText="1"/>
    </xf>
    <xf numFmtId="4" fontId="30" fillId="0" borderId="40" xfId="0" applyNumberFormat="1" applyFont="1" applyFill="1" applyBorder="1" applyAlignment="1">
      <alignment horizontal="right" vertical="center" wrapText="1"/>
    </xf>
    <xf numFmtId="0" fontId="30" fillId="0" borderId="0" xfId="1" applyFont="1" applyFill="1" applyAlignment="1">
      <alignment horizontal="left"/>
    </xf>
    <xf numFmtId="0" fontId="30" fillId="0" borderId="0" xfId="1" applyFont="1" applyFill="1" applyBorder="1"/>
    <xf numFmtId="0" fontId="30" fillId="0" borderId="0" xfId="1" applyFont="1" applyFill="1"/>
    <xf numFmtId="0" fontId="30" fillId="0" borderId="0" xfId="3" applyNumberFormat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4" fontId="30" fillId="0" borderId="0" xfId="1" applyNumberFormat="1" applyFont="1" applyFill="1" applyBorder="1" applyAlignment="1">
      <alignment horizontal="center" vertical="center" wrapText="1"/>
    </xf>
    <xf numFmtId="0" fontId="30" fillId="0" borderId="7" xfId="3" applyNumberFormat="1" applyFont="1" applyFill="1" applyBorder="1" applyAlignment="1">
      <alignment vertical="center" wrapText="1"/>
    </xf>
    <xf numFmtId="2" fontId="30" fillId="0" borderId="7" xfId="1" applyNumberFormat="1" applyFont="1" applyFill="1" applyBorder="1" applyAlignment="1">
      <alignment horizontal="center" vertical="center" wrapText="1"/>
    </xf>
    <xf numFmtId="43" fontId="30" fillId="0" borderId="7" xfId="9" applyFont="1" applyFill="1" applyBorder="1" applyAlignment="1">
      <alignment horizontal="center" vertical="center" wrapText="1"/>
    </xf>
    <xf numFmtId="4" fontId="35" fillId="0" borderId="0" xfId="0" applyNumberFormat="1" applyFont="1" applyAlignment="1">
      <alignment vertical="center"/>
    </xf>
    <xf numFmtId="164" fontId="29" fillId="0" borderId="0" xfId="1" applyNumberFormat="1" applyFont="1" applyFill="1"/>
    <xf numFmtId="4" fontId="36" fillId="0" borderId="5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64" fontId="26" fillId="0" borderId="0" xfId="0" applyNumberFormat="1" applyFont="1" applyFill="1"/>
    <xf numFmtId="0" fontId="26" fillId="0" borderId="0" xfId="0" applyFont="1" applyFill="1"/>
    <xf numFmtId="0" fontId="11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42" xfId="0" applyFont="1" applyFill="1" applyBorder="1" applyAlignment="1">
      <alignment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4" fontId="10" fillId="0" borderId="24" xfId="1" applyNumberFormat="1" applyFont="1" applyFill="1" applyBorder="1" applyAlignment="1">
      <alignment horizontal="center" vertical="center" wrapText="1"/>
    </xf>
    <xf numFmtId="4" fontId="10" fillId="0" borderId="8" xfId="1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0" fillId="0" borderId="53" xfId="1" applyFont="1" applyFill="1" applyBorder="1" applyAlignment="1">
      <alignment horizontal="center" vertical="center" wrapText="1"/>
    </xf>
    <xf numFmtId="0" fontId="10" fillId="0" borderId="54" xfId="1" applyFont="1" applyFill="1" applyBorder="1" applyAlignment="1">
      <alignment horizontal="center" vertical="center" wrapText="1"/>
    </xf>
    <xf numFmtId="0" fontId="10" fillId="0" borderId="55" xfId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164" fontId="10" fillId="0" borderId="26" xfId="1" applyNumberFormat="1" applyFont="1" applyFill="1" applyBorder="1" applyAlignment="1">
      <alignment horizontal="center" vertical="center" wrapText="1"/>
    </xf>
    <xf numFmtId="164" fontId="10" fillId="0" borderId="23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2" xfId="1" applyNumberFormat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>
      <alignment horizontal="center" vertical="center" wrapText="1"/>
    </xf>
    <xf numFmtId="165" fontId="10" fillId="0" borderId="24" xfId="1" applyNumberFormat="1" applyFont="1" applyFill="1" applyBorder="1" applyAlignment="1">
      <alignment horizontal="center" vertical="center" wrapText="1"/>
    </xf>
    <xf numFmtId="2" fontId="10" fillId="0" borderId="4" xfId="1" applyNumberFormat="1" applyFont="1" applyFill="1" applyBorder="1" applyAlignment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 wrapText="1"/>
    </xf>
    <xf numFmtId="164" fontId="10" fillId="0" borderId="24" xfId="1" applyNumberFormat="1" applyFont="1" applyFill="1" applyBorder="1" applyAlignment="1">
      <alignment horizontal="center" vertical="center" wrapText="1"/>
    </xf>
    <xf numFmtId="0" fontId="10" fillId="0" borderId="44" xfId="1" applyFont="1" applyFill="1" applyBorder="1" applyAlignment="1">
      <alignment horizontal="center" vertical="center" wrapText="1"/>
    </xf>
    <xf numFmtId="0" fontId="10" fillId="0" borderId="50" xfId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10" fillId="0" borderId="52" xfId="1" applyFont="1" applyFill="1" applyBorder="1" applyAlignment="1">
      <alignment horizontal="center" vertical="center" wrapText="1"/>
    </xf>
    <xf numFmtId="0" fontId="10" fillId="0" borderId="46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166" fontId="10" fillId="0" borderId="14" xfId="9" applyNumberFormat="1" applyFont="1" applyFill="1" applyBorder="1" applyAlignment="1">
      <alignment horizontal="center" vertical="center" wrapText="1"/>
    </xf>
    <xf numFmtId="166" fontId="10" fillId="0" borderId="19" xfId="9" applyNumberFormat="1" applyFont="1" applyFill="1" applyBorder="1" applyAlignment="1">
      <alignment horizontal="center" vertical="center" wrapText="1"/>
    </xf>
    <xf numFmtId="166" fontId="10" fillId="0" borderId="7" xfId="9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164" fontId="10" fillId="0" borderId="4" xfId="1" applyNumberFormat="1" applyFont="1" applyFill="1" applyBorder="1" applyAlignment="1">
      <alignment horizontal="center" vertical="center" wrapText="1"/>
    </xf>
    <xf numFmtId="4" fontId="10" fillId="0" borderId="14" xfId="1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4" fontId="10" fillId="0" borderId="26" xfId="1" applyNumberFormat="1" applyFont="1" applyFill="1" applyBorder="1" applyAlignment="1">
      <alignment horizontal="center" vertical="center" wrapText="1"/>
    </xf>
    <xf numFmtId="0" fontId="10" fillId="0" borderId="22" xfId="3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0" fontId="10" fillId="0" borderId="53" xfId="3" applyNumberFormat="1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164" fontId="10" fillId="0" borderId="27" xfId="1" applyNumberFormat="1" applyFont="1" applyFill="1" applyBorder="1" applyAlignment="1">
      <alignment horizontal="center" vertical="center" wrapText="1"/>
    </xf>
    <xf numFmtId="164" fontId="10" fillId="0" borderId="20" xfId="1" applyNumberFormat="1" applyFont="1" applyFill="1" applyBorder="1" applyAlignment="1">
      <alignment horizontal="center" vertical="center" wrapText="1"/>
    </xf>
    <xf numFmtId="4" fontId="10" fillId="0" borderId="23" xfId="1" applyNumberFormat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4" fontId="10" fillId="0" borderId="4" xfId="1" applyNumberFormat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 wrapText="1"/>
    </xf>
    <xf numFmtId="0" fontId="10" fillId="0" borderId="57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center" vertical="center" wrapText="1"/>
    </xf>
    <xf numFmtId="4" fontId="10" fillId="0" borderId="57" xfId="1" applyNumberFormat="1" applyFont="1" applyFill="1" applyBorder="1" applyAlignment="1">
      <alignment horizontal="center" vertical="center" wrapText="1"/>
    </xf>
    <xf numFmtId="4" fontId="10" fillId="0" borderId="58" xfId="1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1" fillId="0" borderId="0" xfId="2" applyFont="1" applyFill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30" fillId="0" borderId="53" xfId="1" applyFont="1" applyFill="1" applyBorder="1" applyAlignment="1">
      <alignment horizontal="center" vertical="center" wrapText="1"/>
    </xf>
    <xf numFmtId="0" fontId="30" fillId="0" borderId="55" xfId="1" applyFont="1" applyFill="1" applyBorder="1" applyAlignment="1">
      <alignment horizontal="center" vertical="center" wrapText="1"/>
    </xf>
    <xf numFmtId="0" fontId="30" fillId="0" borderId="14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30" fillId="0" borderId="7" xfId="1" applyFont="1" applyFill="1" applyBorder="1" applyAlignment="1">
      <alignment horizontal="center" vertical="center" wrapText="1"/>
    </xf>
    <xf numFmtId="4" fontId="30" fillId="0" borderId="14" xfId="1" applyNumberFormat="1" applyFont="1" applyFill="1" applyBorder="1" applyAlignment="1">
      <alignment horizontal="center" vertical="center" wrapText="1"/>
    </xf>
    <xf numFmtId="164" fontId="30" fillId="0" borderId="19" xfId="1" applyNumberFormat="1" applyFont="1" applyFill="1" applyBorder="1" applyAlignment="1">
      <alignment horizontal="center" vertical="center" wrapText="1"/>
    </xf>
    <xf numFmtId="0" fontId="30" fillId="0" borderId="54" xfId="1" applyFont="1" applyFill="1" applyBorder="1" applyAlignment="1">
      <alignment horizontal="center" vertical="center" wrapText="1"/>
    </xf>
    <xf numFmtId="4" fontId="30" fillId="0" borderId="7" xfId="1" applyNumberFormat="1" applyFont="1" applyFill="1" applyBorder="1" applyAlignment="1">
      <alignment horizontal="center" vertical="center" wrapText="1"/>
    </xf>
    <xf numFmtId="4" fontId="30" fillId="0" borderId="15" xfId="1" applyNumberFormat="1" applyFont="1" applyFill="1" applyBorder="1" applyAlignment="1">
      <alignment horizontal="center" vertical="center" wrapText="1"/>
    </xf>
    <xf numFmtId="4" fontId="30" fillId="0" borderId="10" xfId="1" applyNumberFormat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4" fontId="30" fillId="0" borderId="19" xfId="1" applyNumberFormat="1" applyFont="1" applyFill="1" applyBorder="1" applyAlignment="1">
      <alignment horizontal="center" vertical="center" wrapText="1"/>
    </xf>
    <xf numFmtId="0" fontId="30" fillId="0" borderId="53" xfId="3" applyNumberFormat="1" applyFont="1" applyFill="1" applyBorder="1" applyAlignment="1">
      <alignment horizontal="center" vertical="center" wrapText="1"/>
    </xf>
    <xf numFmtId="0" fontId="30" fillId="0" borderId="61" xfId="3" applyNumberFormat="1" applyFont="1" applyFill="1" applyBorder="1" applyAlignment="1">
      <alignment horizontal="center" vertical="center" wrapText="1"/>
    </xf>
    <xf numFmtId="0" fontId="30" fillId="0" borderId="23" xfId="1" applyFont="1" applyFill="1" applyBorder="1" applyAlignment="1">
      <alignment horizontal="center" vertical="center" wrapText="1"/>
    </xf>
    <xf numFmtId="0" fontId="30" fillId="0" borderId="54" xfId="3" applyNumberFormat="1" applyFont="1" applyFill="1" applyBorder="1" applyAlignment="1">
      <alignment horizontal="center" vertical="center" wrapText="1"/>
    </xf>
    <xf numFmtId="4" fontId="30" fillId="0" borderId="23" xfId="1" applyNumberFormat="1" applyFont="1" applyFill="1" applyBorder="1" applyAlignment="1">
      <alignment horizontal="center" vertical="center" wrapText="1"/>
    </xf>
    <xf numFmtId="4" fontId="34" fillId="0" borderId="11" xfId="0" applyNumberFormat="1" applyFont="1" applyFill="1" applyBorder="1" applyAlignment="1">
      <alignment horizontal="right" vertical="center" wrapText="1"/>
    </xf>
    <xf numFmtId="4" fontId="34" fillId="0" borderId="13" xfId="0" applyNumberFormat="1" applyFont="1" applyFill="1" applyBorder="1" applyAlignment="1">
      <alignment horizontal="right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4" fontId="30" fillId="0" borderId="11" xfId="0" applyNumberFormat="1" applyFont="1" applyFill="1" applyBorder="1" applyAlignment="1">
      <alignment horizontal="right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0" fontId="34" fillId="0" borderId="13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164" fontId="32" fillId="0" borderId="0" xfId="0" applyNumberFormat="1" applyFont="1"/>
    <xf numFmtId="0" fontId="32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42" xfId="0" applyFont="1" applyBorder="1" applyAlignment="1">
      <alignment vertical="center" wrapText="1"/>
    </xf>
    <xf numFmtId="4" fontId="30" fillId="0" borderId="43" xfId="0" applyNumberFormat="1" applyFont="1" applyFill="1" applyBorder="1" applyAlignment="1">
      <alignment horizontal="right" vertical="center" wrapText="1"/>
    </xf>
    <xf numFmtId="4" fontId="30" fillId="0" borderId="5" xfId="0" applyNumberFormat="1" applyFont="1" applyFill="1" applyBorder="1" applyAlignment="1">
      <alignment horizontal="right" vertical="center" wrapText="1"/>
    </xf>
    <xf numFmtId="0" fontId="30" fillId="0" borderId="22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30" fillId="0" borderId="24" xfId="1" applyFont="1" applyFill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4" fontId="30" fillId="0" borderId="24" xfId="1" applyNumberFormat="1" applyFont="1" applyFill="1" applyBorder="1" applyAlignment="1">
      <alignment horizontal="center" vertical="center" wrapText="1"/>
    </xf>
    <xf numFmtId="4" fontId="30" fillId="0" borderId="8" xfId="1" applyNumberFormat="1" applyFont="1" applyFill="1" applyBorder="1" applyAlignment="1">
      <alignment horizontal="center" vertical="center" wrapText="1"/>
    </xf>
    <xf numFmtId="164" fontId="30" fillId="0" borderId="7" xfId="1" applyNumberFormat="1" applyFont="1" applyFill="1" applyBorder="1" applyAlignment="1">
      <alignment horizontal="center" vertical="center" wrapText="1"/>
    </xf>
    <xf numFmtId="164" fontId="30" fillId="0" borderId="14" xfId="1" applyNumberFormat="1" applyFont="1" applyFill="1" applyBorder="1" applyAlignment="1">
      <alignment horizontal="center" vertical="center" wrapText="1"/>
    </xf>
    <xf numFmtId="165" fontId="30" fillId="0" borderId="22" xfId="1" applyNumberFormat="1" applyFont="1" applyFill="1" applyBorder="1" applyAlignment="1">
      <alignment horizontal="center" vertical="center" wrapText="1"/>
    </xf>
    <xf numFmtId="165" fontId="30" fillId="0" borderId="24" xfId="1" applyNumberFormat="1" applyFont="1" applyFill="1" applyBorder="1" applyAlignment="1">
      <alignment horizontal="center" vertical="center" wrapText="1"/>
    </xf>
    <xf numFmtId="2" fontId="30" fillId="0" borderId="24" xfId="1" applyNumberFormat="1" applyFont="1" applyFill="1" applyBorder="1" applyAlignment="1">
      <alignment horizontal="center" vertical="center" wrapText="1"/>
    </xf>
    <xf numFmtId="164" fontId="30" fillId="0" borderId="24" xfId="1" applyNumberFormat="1" applyFont="1" applyFill="1" applyBorder="1" applyAlignment="1">
      <alignment horizontal="center" vertical="center" wrapText="1"/>
    </xf>
    <xf numFmtId="164" fontId="30" fillId="0" borderId="26" xfId="1" applyNumberFormat="1" applyFont="1" applyFill="1" applyBorder="1" applyAlignment="1">
      <alignment horizontal="center" vertical="center" wrapText="1"/>
    </xf>
    <xf numFmtId="0" fontId="30" fillId="0" borderId="55" xfId="3" applyNumberFormat="1" applyFont="1" applyFill="1" applyBorder="1" applyAlignment="1">
      <alignment horizontal="center" vertical="center" wrapText="1"/>
    </xf>
    <xf numFmtId="0" fontId="31" fillId="0" borderId="43" xfId="1" applyFont="1" applyFill="1" applyBorder="1" applyAlignment="1">
      <alignment horizontal="center" vertical="center"/>
    </xf>
    <xf numFmtId="0" fontId="31" fillId="0" borderId="45" xfId="1" applyFont="1" applyFill="1" applyBorder="1" applyAlignment="1">
      <alignment horizontal="center" vertical="center"/>
    </xf>
    <xf numFmtId="0" fontId="31" fillId="0" borderId="5" xfId="1" applyFont="1" applyFill="1" applyBorder="1" applyAlignment="1">
      <alignment horizontal="center" vertical="center"/>
    </xf>
    <xf numFmtId="4" fontId="30" fillId="0" borderId="26" xfId="1" applyNumberFormat="1" applyFont="1" applyFill="1" applyBorder="1" applyAlignment="1">
      <alignment horizontal="center" vertical="center" wrapText="1"/>
    </xf>
    <xf numFmtId="166" fontId="30" fillId="0" borderId="26" xfId="9" applyNumberFormat="1" applyFont="1" applyFill="1" applyBorder="1" applyAlignment="1">
      <alignment horizontal="center" vertical="center" wrapText="1"/>
    </xf>
    <xf numFmtId="166" fontId="30" fillId="0" borderId="19" xfId="9" applyNumberFormat="1" applyFont="1" applyFill="1" applyBorder="1" applyAlignment="1">
      <alignment horizontal="center" vertical="center" wrapText="1"/>
    </xf>
    <xf numFmtId="166" fontId="30" fillId="0" borderId="23" xfId="9" applyNumberFormat="1" applyFont="1" applyFill="1" applyBorder="1" applyAlignment="1">
      <alignment horizontal="center" vertical="center" wrapText="1"/>
    </xf>
    <xf numFmtId="0" fontId="30" fillId="0" borderId="26" xfId="1" applyFont="1" applyFill="1" applyBorder="1" applyAlignment="1">
      <alignment horizontal="center" vertical="center" wrapText="1"/>
    </xf>
    <xf numFmtId="0" fontId="30" fillId="0" borderId="60" xfId="1" applyFont="1" applyFill="1" applyBorder="1" applyAlignment="1">
      <alignment horizontal="center" vertical="center" wrapText="1"/>
    </xf>
    <xf numFmtId="0" fontId="30" fillId="0" borderId="61" xfId="1" applyFont="1" applyFill="1" applyBorder="1" applyAlignment="1">
      <alignment horizontal="center" vertical="center" wrapText="1"/>
    </xf>
    <xf numFmtId="165" fontId="30" fillId="0" borderId="14" xfId="1" applyNumberFormat="1" applyFont="1" applyFill="1" applyBorder="1" applyAlignment="1">
      <alignment horizontal="center" vertical="center" wrapText="1"/>
    </xf>
    <xf numFmtId="165" fontId="30" fillId="0" borderId="23" xfId="1" applyNumberFormat="1" applyFont="1" applyFill="1" applyBorder="1" applyAlignment="1">
      <alignment horizontal="center" vertical="center" wrapText="1"/>
    </xf>
    <xf numFmtId="164" fontId="30" fillId="0" borderId="23" xfId="1" applyNumberFormat="1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6" fillId="0" borderId="0" xfId="0" applyFont="1"/>
    <xf numFmtId="0" fontId="11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4" fontId="28" fillId="0" borderId="11" xfId="0" applyNumberFormat="1" applyFont="1" applyFill="1" applyBorder="1" applyAlignment="1">
      <alignment horizontal="right" vertical="center" wrapText="1"/>
    </xf>
    <xf numFmtId="4" fontId="28" fillId="0" borderId="13" xfId="0" applyNumberFormat="1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right" vertical="center" wrapText="1"/>
    </xf>
    <xf numFmtId="4" fontId="10" fillId="0" borderId="43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164" fontId="10" fillId="0" borderId="14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3" xfId="1" applyFont="1" applyFill="1" applyBorder="1" applyAlignment="1">
      <alignment horizontal="center"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4" fontId="23" fillId="0" borderId="13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4" fontId="24" fillId="0" borderId="11" xfId="0" applyNumberFormat="1" applyFont="1" applyBorder="1" applyAlignment="1">
      <alignment horizontal="right" vertical="center" wrapText="1"/>
    </xf>
    <xf numFmtId="4" fontId="24" fillId="0" borderId="13" xfId="0" applyNumberFormat="1" applyFont="1" applyBorder="1" applyAlignment="1">
      <alignment horizontal="right" vertical="center" wrapText="1"/>
    </xf>
    <xf numFmtId="0" fontId="24" fillId="0" borderId="11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4" fontId="23" fillId="0" borderId="43" xfId="0" applyNumberFormat="1" applyFont="1" applyBorder="1" applyAlignment="1">
      <alignment horizontal="right" vertical="center" wrapText="1"/>
    </xf>
    <xf numFmtId="4" fontId="23" fillId="0" borderId="5" xfId="0" applyNumberFormat="1" applyFont="1" applyBorder="1" applyAlignment="1">
      <alignment horizontal="right" vertical="center" wrapText="1"/>
    </xf>
    <xf numFmtId="0" fontId="21" fillId="0" borderId="42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164" fontId="30" fillId="0" borderId="10" xfId="1" applyNumberFormat="1" applyFont="1" applyFill="1" applyBorder="1" applyAlignment="1">
      <alignment horizontal="center" vertical="center" wrapText="1"/>
    </xf>
    <xf numFmtId="165" fontId="30" fillId="0" borderId="7" xfId="1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10" xfId="4"/>
    <cellStyle name="Обычный 2 2" xfId="2"/>
    <cellStyle name="Обычный 29" xfId="5"/>
    <cellStyle name="Обычный 3" xfId="6"/>
    <cellStyle name="Обычный 4" xfId="7"/>
    <cellStyle name="Обычный 5" xfId="8"/>
    <cellStyle name="Обычный_Бизнес-план 2005 г. (РВК)1 экспериментальн 2 со 2 квартала_1" xfId="3"/>
    <cellStyle name="Финансовый" xfId="9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77"/>
  <sheetViews>
    <sheetView view="pageBreakPreview" topLeftCell="A66" zoomScale="85" zoomScaleNormal="85" zoomScaleSheetLayoutView="85" zoomScalePageLayoutView="40" workbookViewId="0">
      <selection activeCell="G76" sqref="G76"/>
    </sheetView>
  </sheetViews>
  <sheetFormatPr defaultRowHeight="15" x14ac:dyDescent="0.25"/>
  <cols>
    <col min="1" max="1" width="48.42578125" style="1" customWidth="1"/>
    <col min="2" max="2" width="23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7" style="1" customWidth="1"/>
    <col min="7" max="7" width="16.7109375" style="1" customWidth="1"/>
    <col min="8" max="8" width="19.85546875" style="1" customWidth="1"/>
    <col min="9" max="9" width="18" style="1" customWidth="1"/>
    <col min="10" max="10" width="17" style="140" customWidth="1"/>
    <col min="11" max="16384" width="9.140625" style="7"/>
  </cols>
  <sheetData>
    <row r="1" spans="1:10" ht="28.5" customHeight="1" x14ac:dyDescent="0.25">
      <c r="F1" s="3"/>
      <c r="G1" s="4"/>
      <c r="H1" s="5"/>
      <c r="I1" s="4"/>
      <c r="J1" s="4"/>
    </row>
    <row r="2" spans="1:10" ht="15.75" x14ac:dyDescent="0.25">
      <c r="A2" s="467" t="s">
        <v>0</v>
      </c>
      <c r="B2" s="467"/>
      <c r="C2" s="467"/>
      <c r="D2" s="467"/>
      <c r="E2" s="467"/>
      <c r="F2" s="467"/>
      <c r="G2" s="467"/>
      <c r="H2" s="467"/>
      <c r="I2" s="467"/>
      <c r="J2" s="467"/>
    </row>
    <row r="3" spans="1:10" ht="15.75" x14ac:dyDescent="0.25">
      <c r="A3" s="468" t="s">
        <v>1</v>
      </c>
      <c r="B3" s="468"/>
      <c r="C3" s="468"/>
      <c r="D3" s="468"/>
      <c r="E3" s="468"/>
      <c r="F3" s="468"/>
      <c r="G3" s="468"/>
      <c r="H3" s="468"/>
      <c r="I3" s="468"/>
      <c r="J3" s="468"/>
    </row>
    <row r="4" spans="1:10" ht="15.75" x14ac:dyDescent="0.25">
      <c r="A4" s="469" t="s">
        <v>223</v>
      </c>
      <c r="B4" s="469"/>
      <c r="C4" s="469"/>
      <c r="D4" s="469"/>
      <c r="E4" s="469"/>
      <c r="F4" s="469"/>
      <c r="G4" s="469"/>
      <c r="H4" s="469"/>
      <c r="I4" s="469"/>
      <c r="J4" s="469"/>
    </row>
    <row r="5" spans="1:10" ht="16.5" thickBot="1" x14ac:dyDescent="0.3">
      <c r="A5" s="261"/>
      <c r="B5" s="261"/>
      <c r="C5" s="261"/>
      <c r="D5" s="261"/>
      <c r="E5" s="261"/>
      <c r="F5" s="261"/>
      <c r="G5" s="261"/>
      <c r="H5" s="261"/>
      <c r="I5" s="261"/>
      <c r="J5" s="11"/>
    </row>
    <row r="6" spans="1:10" ht="15.75" x14ac:dyDescent="0.25">
      <c r="A6" s="470" t="s">
        <v>3</v>
      </c>
      <c r="B6" s="472" t="s">
        <v>4</v>
      </c>
      <c r="C6" s="473"/>
      <c r="D6" s="474" t="s">
        <v>5</v>
      </c>
      <c r="E6" s="474" t="s">
        <v>6</v>
      </c>
      <c r="F6" s="476" t="s">
        <v>7</v>
      </c>
      <c r="G6" s="477"/>
      <c r="H6" s="478" t="s">
        <v>8</v>
      </c>
      <c r="I6" s="480" t="s">
        <v>9</v>
      </c>
      <c r="J6" s="481"/>
    </row>
    <row r="7" spans="1:10" ht="64.5" customHeight="1" thickBot="1" x14ac:dyDescent="0.3">
      <c r="A7" s="471"/>
      <c r="B7" s="12" t="s">
        <v>10</v>
      </c>
      <c r="C7" s="12" t="s">
        <v>11</v>
      </c>
      <c r="D7" s="475"/>
      <c r="E7" s="475"/>
      <c r="F7" s="13" t="s">
        <v>12</v>
      </c>
      <c r="G7" s="14" t="s">
        <v>13</v>
      </c>
      <c r="H7" s="479"/>
      <c r="I7" s="13" t="s">
        <v>12</v>
      </c>
      <c r="J7" s="15" t="s">
        <v>13</v>
      </c>
    </row>
    <row r="8" spans="1:10" ht="16.5" thickBot="1" x14ac:dyDescent="0.3">
      <c r="A8" s="39" t="s">
        <v>14</v>
      </c>
      <c r="B8" s="86"/>
      <c r="C8" s="86"/>
      <c r="D8" s="86"/>
      <c r="E8" s="86"/>
      <c r="F8" s="86"/>
      <c r="G8" s="86"/>
      <c r="H8" s="86"/>
      <c r="I8" s="86"/>
      <c r="J8" s="87"/>
    </row>
    <row r="9" spans="1:10" ht="35.25" customHeight="1" x14ac:dyDescent="0.25">
      <c r="A9" s="435" t="s">
        <v>230</v>
      </c>
      <c r="B9" s="435" t="s">
        <v>88</v>
      </c>
      <c r="C9" s="446" t="s">
        <v>231</v>
      </c>
      <c r="D9" s="458">
        <f>4452500/1000</f>
        <v>4452.5</v>
      </c>
      <c r="E9" s="458" t="str">
        <f>G9</f>
        <v>-</v>
      </c>
      <c r="F9" s="435"/>
      <c r="G9" s="463" t="s">
        <v>265</v>
      </c>
      <c r="H9" s="465">
        <f>J9</f>
        <v>1449.8873108</v>
      </c>
      <c r="I9" s="463" t="s">
        <v>253</v>
      </c>
      <c r="J9" s="465">
        <v>1449.8873108</v>
      </c>
    </row>
    <row r="10" spans="1:10" ht="92.25" customHeight="1" thickBot="1" x14ac:dyDescent="0.3">
      <c r="A10" s="396"/>
      <c r="B10" s="396"/>
      <c r="C10" s="398"/>
      <c r="D10" s="400"/>
      <c r="E10" s="400"/>
      <c r="F10" s="396"/>
      <c r="G10" s="464"/>
      <c r="H10" s="464"/>
      <c r="I10" s="464"/>
      <c r="J10" s="466"/>
    </row>
    <row r="11" spans="1:10" s="8" customFormat="1" ht="60.75" customHeight="1" thickBot="1" x14ac:dyDescent="0.3">
      <c r="A11" s="435" t="s">
        <v>15</v>
      </c>
      <c r="B11" s="446" t="s">
        <v>16</v>
      </c>
      <c r="C11" s="446" t="s">
        <v>17</v>
      </c>
      <c r="D11" s="458">
        <f>17859290*1.18/1000</f>
        <v>21073.962199999998</v>
      </c>
      <c r="E11" s="458">
        <f>SUM(G11:G12)</f>
        <v>21073.962199999998</v>
      </c>
      <c r="F11" s="270" t="s">
        <v>18</v>
      </c>
      <c r="G11" s="265">
        <f>18035178.41/1000</f>
        <v>18035.17841</v>
      </c>
      <c r="H11" s="265">
        <f>SUM(J11:J11)</f>
        <v>0</v>
      </c>
      <c r="I11" s="268" t="s">
        <v>19</v>
      </c>
      <c r="J11" s="217" t="s">
        <v>19</v>
      </c>
    </row>
    <row r="12" spans="1:10" s="8" customFormat="1" ht="60.75" customHeight="1" thickBot="1" x14ac:dyDescent="0.3">
      <c r="A12" s="396"/>
      <c r="B12" s="398"/>
      <c r="C12" s="398"/>
      <c r="D12" s="400"/>
      <c r="E12" s="400"/>
      <c r="F12" s="270" t="s">
        <v>218</v>
      </c>
      <c r="G12" s="265">
        <v>3038.7837899999977</v>
      </c>
      <c r="H12" s="265">
        <f>SUM(J12:J12)</f>
        <v>0</v>
      </c>
      <c r="I12" s="268" t="s">
        <v>19</v>
      </c>
      <c r="J12" s="217" t="s">
        <v>19</v>
      </c>
    </row>
    <row r="13" spans="1:10" s="8" customFormat="1" ht="63" customHeight="1" thickBot="1" x14ac:dyDescent="0.3">
      <c r="A13" s="88" t="s">
        <v>20</v>
      </c>
      <c r="B13" s="20" t="s">
        <v>16</v>
      </c>
      <c r="C13" s="20" t="s">
        <v>21</v>
      </c>
      <c r="D13" s="265">
        <f>10176490*1.18/1000</f>
        <v>12008.258199999998</v>
      </c>
      <c r="E13" s="265">
        <f>SUM(G13:G13)</f>
        <v>12008.258199999998</v>
      </c>
      <c r="F13" s="270" t="s">
        <v>18</v>
      </c>
      <c r="G13" s="265">
        <f>12008258.2/1000</f>
        <v>12008.258199999998</v>
      </c>
      <c r="H13" s="265">
        <f>SUM(J13:J13)</f>
        <v>0</v>
      </c>
      <c r="I13" s="268" t="s">
        <v>19</v>
      </c>
      <c r="J13" s="217" t="s">
        <v>19</v>
      </c>
    </row>
    <row r="14" spans="1:10" s="8" customFormat="1" ht="62.25" customHeight="1" thickBot="1" x14ac:dyDescent="0.3">
      <c r="A14" s="88" t="s">
        <v>22</v>
      </c>
      <c r="B14" s="264" t="s">
        <v>16</v>
      </c>
      <c r="C14" s="20" t="s">
        <v>21</v>
      </c>
      <c r="D14" s="265">
        <f>14884895*1.18/1000</f>
        <v>17564.176099999997</v>
      </c>
      <c r="E14" s="265">
        <f>SUM(G14:G14)</f>
        <v>17564.176100000001</v>
      </c>
      <c r="F14" s="270" t="s">
        <v>18</v>
      </c>
      <c r="G14" s="265">
        <f>17564176.1/1000</f>
        <v>17564.176100000001</v>
      </c>
      <c r="H14" s="265">
        <f>SUM(J14:J14)</f>
        <v>0</v>
      </c>
      <c r="I14" s="268" t="s">
        <v>19</v>
      </c>
      <c r="J14" s="217" t="s">
        <v>19</v>
      </c>
    </row>
    <row r="15" spans="1:10" s="8" customFormat="1" ht="45" customHeight="1" x14ac:dyDescent="0.25">
      <c r="A15" s="444" t="s">
        <v>23</v>
      </c>
      <c r="B15" s="446" t="s">
        <v>24</v>
      </c>
      <c r="C15" s="446" t="s">
        <v>25</v>
      </c>
      <c r="D15" s="458">
        <f>1100000/1000</f>
        <v>1100</v>
      </c>
      <c r="E15" s="458">
        <f>SUM(G15:G17)</f>
        <v>1100</v>
      </c>
      <c r="F15" s="263" t="s">
        <v>19</v>
      </c>
      <c r="G15" s="255">
        <v>1100</v>
      </c>
      <c r="H15" s="458">
        <f>J15+J16+J17</f>
        <v>1099.9999883999999</v>
      </c>
      <c r="I15" s="263" t="s">
        <v>26</v>
      </c>
      <c r="J15" s="201">
        <f>351196.6268/1000</f>
        <v>351.19662680000005</v>
      </c>
    </row>
    <row r="16" spans="1:10" s="8" customFormat="1" ht="45" customHeight="1" x14ac:dyDescent="0.25">
      <c r="A16" s="448"/>
      <c r="B16" s="397"/>
      <c r="C16" s="397"/>
      <c r="D16" s="399"/>
      <c r="E16" s="399"/>
      <c r="F16" s="263"/>
      <c r="G16" s="255"/>
      <c r="H16" s="399"/>
      <c r="I16" s="29" t="s">
        <v>159</v>
      </c>
      <c r="J16" s="201">
        <v>299.52134699999993</v>
      </c>
    </row>
    <row r="17" spans="1:13" s="8" customFormat="1" ht="45" customHeight="1" x14ac:dyDescent="0.25">
      <c r="A17" s="448"/>
      <c r="B17" s="452"/>
      <c r="C17" s="452"/>
      <c r="D17" s="447"/>
      <c r="E17" s="447"/>
      <c r="F17" s="263"/>
      <c r="G17" s="255"/>
      <c r="H17" s="447"/>
      <c r="I17" s="29" t="s">
        <v>175</v>
      </c>
      <c r="J17" s="201">
        <f>(380747.47/1000)*1.18</f>
        <v>449.28201459999991</v>
      </c>
    </row>
    <row r="18" spans="1:13" s="8" customFormat="1" ht="34.5" customHeight="1" x14ac:dyDescent="0.25">
      <c r="A18" s="448"/>
      <c r="B18" s="462" t="s">
        <v>27</v>
      </c>
      <c r="C18" s="462" t="s">
        <v>28</v>
      </c>
      <c r="D18" s="455">
        <v>2740.83</v>
      </c>
      <c r="E18" s="455">
        <f>SUM(G18:G21)</f>
        <v>2589.3861000000002</v>
      </c>
      <c r="F18" s="263" t="s">
        <v>29</v>
      </c>
      <c r="G18" s="255">
        <f>737212.08/1000</f>
        <v>737.21208000000001</v>
      </c>
      <c r="H18" s="455">
        <f>SUM(J18:J21)</f>
        <v>915.86171999999988</v>
      </c>
      <c r="I18" s="29" t="s">
        <v>30</v>
      </c>
      <c r="J18" s="201">
        <v>253.22681999999998</v>
      </c>
    </row>
    <row r="19" spans="1:13" s="8" customFormat="1" ht="34.5" customHeight="1" x14ac:dyDescent="0.25">
      <c r="A19" s="448"/>
      <c r="B19" s="397"/>
      <c r="C19" s="397"/>
      <c r="D19" s="399"/>
      <c r="E19" s="399"/>
      <c r="F19" s="263" t="s">
        <v>31</v>
      </c>
      <c r="G19" s="255">
        <f>936312.3/1000</f>
        <v>936.31230000000005</v>
      </c>
      <c r="H19" s="399"/>
      <c r="I19" s="263" t="s">
        <v>19</v>
      </c>
      <c r="J19" s="218" t="s">
        <v>19</v>
      </c>
    </row>
    <row r="20" spans="1:13" s="8" customFormat="1" ht="34.5" customHeight="1" x14ac:dyDescent="0.25">
      <c r="A20" s="448"/>
      <c r="B20" s="397"/>
      <c r="C20" s="397"/>
      <c r="D20" s="399"/>
      <c r="E20" s="399"/>
      <c r="F20" s="263" t="s">
        <v>32</v>
      </c>
      <c r="G20" s="255">
        <v>253.22682</v>
      </c>
      <c r="H20" s="399"/>
      <c r="I20" s="263" t="s">
        <v>19</v>
      </c>
      <c r="J20" s="218" t="s">
        <v>19</v>
      </c>
    </row>
    <row r="21" spans="1:13" s="8" customFormat="1" ht="34.5" customHeight="1" x14ac:dyDescent="0.25">
      <c r="A21" s="448"/>
      <c r="B21" s="452"/>
      <c r="C21" s="452"/>
      <c r="D21" s="447"/>
      <c r="E21" s="447"/>
      <c r="F21" s="263" t="s">
        <v>185</v>
      </c>
      <c r="G21" s="255">
        <f>662634.9/1000</f>
        <v>662.63490000000002</v>
      </c>
      <c r="H21" s="447"/>
      <c r="I21" s="263" t="s">
        <v>160</v>
      </c>
      <c r="J21" s="201">
        <v>662.6348999999999</v>
      </c>
    </row>
    <row r="22" spans="1:13" s="8" customFormat="1" ht="42" customHeight="1" x14ac:dyDescent="0.25">
      <c r="A22" s="448"/>
      <c r="B22" s="253" t="s">
        <v>33</v>
      </c>
      <c r="C22" s="248" t="s">
        <v>34</v>
      </c>
      <c r="D22" s="255">
        <f>1652600/1000</f>
        <v>1652.6</v>
      </c>
      <c r="E22" s="255">
        <f t="shared" ref="E22:E27" si="0">G22</f>
        <v>1652.6</v>
      </c>
      <c r="F22" s="263" t="s">
        <v>35</v>
      </c>
      <c r="G22" s="255">
        <f>1652600/1000</f>
        <v>1652.6</v>
      </c>
      <c r="H22" s="255" t="str">
        <f>J22</f>
        <v>__</v>
      </c>
      <c r="I22" s="263" t="s">
        <v>19</v>
      </c>
      <c r="J22" s="201" t="s">
        <v>19</v>
      </c>
    </row>
    <row r="23" spans="1:13" s="8" customFormat="1" ht="42" customHeight="1" x14ac:dyDescent="0.25">
      <c r="A23" s="448"/>
      <c r="B23" s="247" t="s">
        <v>201</v>
      </c>
      <c r="C23" s="253" t="s">
        <v>202</v>
      </c>
      <c r="D23" s="246">
        <v>98</v>
      </c>
      <c r="E23" s="255">
        <f t="shared" si="0"/>
        <v>98</v>
      </c>
      <c r="F23" s="257" t="s">
        <v>210</v>
      </c>
      <c r="G23" s="246">
        <v>98</v>
      </c>
      <c r="H23" s="255">
        <f>J23</f>
        <v>98.000002999999992</v>
      </c>
      <c r="I23" s="257" t="s">
        <v>213</v>
      </c>
      <c r="J23" s="218">
        <v>98.000002999999992</v>
      </c>
    </row>
    <row r="24" spans="1:13" s="8" customFormat="1" ht="38.25" customHeight="1" x14ac:dyDescent="0.25">
      <c r="A24" s="448"/>
      <c r="B24" s="456" t="s">
        <v>36</v>
      </c>
      <c r="C24" s="457"/>
      <c r="D24" s="246" t="s">
        <v>19</v>
      </c>
      <c r="E24" s="255" t="str">
        <f t="shared" si="0"/>
        <v>__</v>
      </c>
      <c r="F24" s="257" t="s">
        <v>19</v>
      </c>
      <c r="G24" s="246" t="s">
        <v>19</v>
      </c>
      <c r="H24" s="255">
        <f>J24</f>
        <v>66.934614999999994</v>
      </c>
      <c r="I24" s="257" t="s">
        <v>19</v>
      </c>
      <c r="J24" s="218">
        <v>66.934614999999994</v>
      </c>
    </row>
    <row r="25" spans="1:13" s="8" customFormat="1" ht="38.25" hidden="1" customHeight="1" x14ac:dyDescent="0.25">
      <c r="A25" s="239"/>
      <c r="B25" s="287"/>
      <c r="C25" s="287"/>
      <c r="D25" s="289"/>
      <c r="E25" s="289">
        <f t="shared" si="0"/>
        <v>1152.7524076</v>
      </c>
      <c r="F25" s="150"/>
      <c r="G25" s="289">
        <v>1152.7524076</v>
      </c>
      <c r="H25" s="289"/>
      <c r="I25" s="150"/>
      <c r="J25" s="289"/>
      <c r="M25" s="188"/>
    </row>
    <row r="26" spans="1:13" s="8" customFormat="1" ht="60.75" thickBot="1" x14ac:dyDescent="0.3">
      <c r="A26" s="240" t="s">
        <v>167</v>
      </c>
      <c r="B26" s="271" t="s">
        <v>168</v>
      </c>
      <c r="C26" s="242"/>
      <c r="D26" s="245">
        <f>70000/1000</f>
        <v>70</v>
      </c>
      <c r="E26" s="245">
        <f t="shared" si="0"/>
        <v>70</v>
      </c>
      <c r="F26" s="256" t="s">
        <v>211</v>
      </c>
      <c r="G26" s="245">
        <v>70</v>
      </c>
      <c r="H26" s="245">
        <f>J26</f>
        <v>70</v>
      </c>
      <c r="I26" s="256" t="s">
        <v>178</v>
      </c>
      <c r="J26" s="219">
        <f>70000/1000</f>
        <v>70</v>
      </c>
    </row>
    <row r="27" spans="1:13" s="8" customFormat="1" ht="102" customHeight="1" thickBot="1" x14ac:dyDescent="0.3">
      <c r="A27" s="240" t="s">
        <v>219</v>
      </c>
      <c r="B27" s="253" t="s">
        <v>220</v>
      </c>
      <c r="C27" s="253" t="s">
        <v>222</v>
      </c>
      <c r="D27" s="255">
        <f>768312/1000</f>
        <v>768.31200000000001</v>
      </c>
      <c r="E27" s="245">
        <f t="shared" si="0"/>
        <v>768.31199479999998</v>
      </c>
      <c r="F27" s="263"/>
      <c r="G27" s="255">
        <v>768.31199479999998</v>
      </c>
      <c r="H27" s="255">
        <f>J27</f>
        <v>768.31199479999998</v>
      </c>
      <c r="I27" s="263" t="s">
        <v>261</v>
      </c>
      <c r="J27" s="255">
        <v>768.31199479999998</v>
      </c>
    </row>
    <row r="28" spans="1:13" s="8" customFormat="1" ht="16.5" thickBot="1" x14ac:dyDescent="0.3">
      <c r="A28" s="32" t="s">
        <v>37</v>
      </c>
      <c r="B28" s="262"/>
      <c r="C28" s="262"/>
      <c r="D28" s="262"/>
      <c r="E28" s="228">
        <f>SUM(E11:E27)</f>
        <v>58077.447002400004</v>
      </c>
      <c r="F28" s="260"/>
      <c r="G28" s="228">
        <f>SUM(G7:G26)</f>
        <v>57309.135007599994</v>
      </c>
      <c r="H28" s="228">
        <f>SUM(H9:H27)</f>
        <v>4468.9956320000001</v>
      </c>
      <c r="I28" s="228"/>
      <c r="J28" s="229">
        <f>SUM(J9:J27)</f>
        <v>4468.9956320000001</v>
      </c>
    </row>
    <row r="29" spans="1:13" s="8" customFormat="1" ht="39" customHeight="1" thickBot="1" x14ac:dyDescent="0.3">
      <c r="A29" s="32" t="s">
        <v>38</v>
      </c>
      <c r="B29" s="33"/>
      <c r="C29" s="33"/>
      <c r="D29" s="33"/>
      <c r="E29" s="214">
        <f>G29</f>
        <v>1240.7417150655556</v>
      </c>
      <c r="F29" s="215"/>
      <c r="G29" s="214">
        <f>J29</f>
        <v>1240.7417150655556</v>
      </c>
      <c r="H29" s="214">
        <f>J29</f>
        <v>1240.7417150655556</v>
      </c>
      <c r="I29" s="215"/>
      <c r="J29" s="216">
        <v>1240.7417150655556</v>
      </c>
    </row>
    <row r="30" spans="1:13" s="8" customFormat="1" ht="32.25" thickBot="1" x14ac:dyDescent="0.3">
      <c r="A30" s="32" t="s">
        <v>39</v>
      </c>
      <c r="B30" s="33"/>
      <c r="C30" s="33"/>
      <c r="D30" s="33"/>
      <c r="E30" s="214">
        <f>E28+E29</f>
        <v>59318.188717465557</v>
      </c>
      <c r="F30" s="215"/>
      <c r="G30" s="214">
        <f>G28+G29</f>
        <v>58549.876722665547</v>
      </c>
      <c r="H30" s="214">
        <f>H28+H29</f>
        <v>5709.7373470655557</v>
      </c>
      <c r="I30" s="215"/>
      <c r="J30" s="216">
        <f>J28+J29</f>
        <v>5709.7373470655557</v>
      </c>
    </row>
    <row r="31" spans="1:13" s="8" customFormat="1" ht="16.5" customHeight="1" thickBot="1" x14ac:dyDescent="0.3">
      <c r="A31" s="459" t="s">
        <v>40</v>
      </c>
      <c r="B31" s="460"/>
      <c r="C31" s="460"/>
      <c r="D31" s="460"/>
      <c r="E31" s="460"/>
      <c r="F31" s="460"/>
      <c r="G31" s="460"/>
      <c r="H31" s="460"/>
      <c r="I31" s="460"/>
      <c r="J31" s="461"/>
    </row>
    <row r="32" spans="1:13" s="8" customFormat="1" ht="45" customHeight="1" x14ac:dyDescent="0.25">
      <c r="A32" s="435" t="s">
        <v>41</v>
      </c>
      <c r="B32" s="429" t="s">
        <v>42</v>
      </c>
      <c r="C32" s="429" t="s">
        <v>43</v>
      </c>
      <c r="D32" s="439">
        <v>82000</v>
      </c>
      <c r="E32" s="439">
        <f>SUM(G32:G46)</f>
        <v>14109.1319186</v>
      </c>
      <c r="F32" s="272" t="s">
        <v>44</v>
      </c>
      <c r="G32" s="254">
        <v>130.99584999999999</v>
      </c>
      <c r="H32" s="458">
        <f>SUM(J32:J46)</f>
        <v>32831.120364800001</v>
      </c>
      <c r="I32" s="272" t="s">
        <v>45</v>
      </c>
      <c r="J32" s="220">
        <f>130995.8474/1000</f>
        <v>130.9958474</v>
      </c>
    </row>
    <row r="33" spans="1:14" s="8" customFormat="1" ht="45" x14ac:dyDescent="0.25">
      <c r="A33" s="395"/>
      <c r="B33" s="430"/>
      <c r="C33" s="430"/>
      <c r="D33" s="410"/>
      <c r="E33" s="410"/>
      <c r="F33" s="263" t="s">
        <v>46</v>
      </c>
      <c r="G33" s="255">
        <v>651.55920000000003</v>
      </c>
      <c r="H33" s="399"/>
      <c r="I33" s="263" t="s">
        <v>47</v>
      </c>
      <c r="J33" s="201">
        <f>30576.14*1.18/1000</f>
        <v>36.079845199999994</v>
      </c>
    </row>
    <row r="34" spans="1:14" s="8" customFormat="1" ht="45" x14ac:dyDescent="0.25">
      <c r="A34" s="395"/>
      <c r="B34" s="430"/>
      <c r="C34" s="430"/>
      <c r="D34" s="410"/>
      <c r="E34" s="410"/>
      <c r="F34" s="263" t="s">
        <v>48</v>
      </c>
      <c r="G34" s="255">
        <v>36.07985</v>
      </c>
      <c r="H34" s="399"/>
      <c r="I34" s="263" t="s">
        <v>49</v>
      </c>
      <c r="J34" s="201">
        <f>552168.81*1.18/1000</f>
        <v>651.5591958</v>
      </c>
    </row>
    <row r="35" spans="1:14" s="8" customFormat="1" ht="45" x14ac:dyDescent="0.25">
      <c r="A35" s="395"/>
      <c r="B35" s="430"/>
      <c r="C35" s="430"/>
      <c r="D35" s="410"/>
      <c r="E35" s="410"/>
      <c r="F35" s="263" t="s">
        <v>19</v>
      </c>
      <c r="G35" s="255" t="s">
        <v>19</v>
      </c>
      <c r="H35" s="399"/>
      <c r="I35" s="263" t="s">
        <v>50</v>
      </c>
      <c r="J35" s="201">
        <v>505.16762879999999</v>
      </c>
    </row>
    <row r="36" spans="1:14" s="8" customFormat="1" ht="45" x14ac:dyDescent="0.25">
      <c r="A36" s="395"/>
      <c r="B36" s="430"/>
      <c r="C36" s="430"/>
      <c r="D36" s="410"/>
      <c r="E36" s="410"/>
      <c r="F36" s="263" t="s">
        <v>19</v>
      </c>
      <c r="G36" s="255" t="s">
        <v>19</v>
      </c>
      <c r="H36" s="399"/>
      <c r="I36" s="263" t="s">
        <v>51</v>
      </c>
      <c r="J36" s="201">
        <v>1041.8767402000001</v>
      </c>
    </row>
    <row r="37" spans="1:14" s="8" customFormat="1" ht="45" x14ac:dyDescent="0.25">
      <c r="A37" s="395"/>
      <c r="B37" s="430"/>
      <c r="C37" s="430"/>
      <c r="D37" s="410"/>
      <c r="E37" s="410"/>
      <c r="F37" s="263" t="s">
        <v>183</v>
      </c>
      <c r="G37" s="255">
        <f>505167.63/1000</f>
        <v>505.16763000000003</v>
      </c>
      <c r="H37" s="399"/>
      <c r="I37" s="263" t="s">
        <v>158</v>
      </c>
      <c r="J37" s="201">
        <v>3587.7674383999997</v>
      </c>
    </row>
    <row r="38" spans="1:14" s="8" customFormat="1" ht="45" x14ac:dyDescent="0.25">
      <c r="A38" s="395"/>
      <c r="B38" s="430"/>
      <c r="C38" s="430"/>
      <c r="D38" s="410"/>
      <c r="E38" s="410"/>
      <c r="F38" s="263" t="s">
        <v>184</v>
      </c>
      <c r="G38" s="255">
        <f>1041876.74/1000</f>
        <v>1041.8767399999999</v>
      </c>
      <c r="H38" s="399"/>
      <c r="I38" s="263" t="s">
        <v>157</v>
      </c>
      <c r="J38" s="201">
        <v>676.7155095999999</v>
      </c>
    </row>
    <row r="39" spans="1:14" s="8" customFormat="1" ht="45" x14ac:dyDescent="0.25">
      <c r="A39" s="395"/>
      <c r="B39" s="430"/>
      <c r="C39" s="430"/>
      <c r="D39" s="410"/>
      <c r="E39" s="410"/>
      <c r="F39" s="263" t="s">
        <v>188</v>
      </c>
      <c r="G39" s="255">
        <f>3587767.44/1000</f>
        <v>3587.7674400000001</v>
      </c>
      <c r="H39" s="399"/>
      <c r="I39" s="263" t="s">
        <v>177</v>
      </c>
      <c r="J39" s="201">
        <v>1793.9132191999997</v>
      </c>
    </row>
    <row r="40" spans="1:14" s="8" customFormat="1" ht="45" x14ac:dyDescent="0.25">
      <c r="A40" s="395"/>
      <c r="B40" s="430"/>
      <c r="C40" s="430"/>
      <c r="D40" s="410"/>
      <c r="E40" s="410"/>
      <c r="F40" s="263" t="s">
        <v>187</v>
      </c>
      <c r="G40" s="255">
        <f>676715.51/1000</f>
        <v>676.71550999999999</v>
      </c>
      <c r="H40" s="399"/>
      <c r="I40" s="263" t="s">
        <v>215</v>
      </c>
      <c r="J40" s="201">
        <v>2883.876045</v>
      </c>
    </row>
    <row r="41" spans="1:14" s="8" customFormat="1" ht="45" x14ac:dyDescent="0.25">
      <c r="A41" s="395"/>
      <c r="B41" s="430"/>
      <c r="C41" s="430"/>
      <c r="D41" s="410"/>
      <c r="E41" s="410"/>
      <c r="F41" s="263" t="s">
        <v>207</v>
      </c>
      <c r="G41" s="255">
        <v>1793.9132199999999</v>
      </c>
      <c r="H41" s="399"/>
      <c r="I41" s="263" t="s">
        <v>252</v>
      </c>
      <c r="J41" s="201">
        <v>2620.1652435999995</v>
      </c>
    </row>
    <row r="42" spans="1:14" s="8" customFormat="1" ht="45" x14ac:dyDescent="0.25">
      <c r="A42" s="395"/>
      <c r="B42" s="430"/>
      <c r="C42" s="430"/>
      <c r="D42" s="410"/>
      <c r="E42" s="410"/>
      <c r="F42" s="263" t="s">
        <v>208</v>
      </c>
      <c r="G42" s="255">
        <v>156.38051000000002</v>
      </c>
      <c r="H42" s="399"/>
      <c r="I42" s="263" t="s">
        <v>254</v>
      </c>
      <c r="J42" s="201">
        <v>13052.014514999999</v>
      </c>
    </row>
    <row r="43" spans="1:14" s="8" customFormat="1" ht="45" x14ac:dyDescent="0.25">
      <c r="A43" s="395"/>
      <c r="B43" s="430"/>
      <c r="C43" s="430"/>
      <c r="D43" s="410"/>
      <c r="E43" s="410"/>
      <c r="F43" s="263" t="s">
        <v>209</v>
      </c>
      <c r="G43" s="255">
        <v>24.634679999999999</v>
      </c>
      <c r="H43" s="399"/>
      <c r="I43" s="263" t="s">
        <v>260</v>
      </c>
      <c r="J43" s="201">
        <v>1395.4322106</v>
      </c>
    </row>
    <row r="44" spans="1:14" s="8" customFormat="1" ht="45" x14ac:dyDescent="0.25">
      <c r="A44" s="395"/>
      <c r="B44" s="430"/>
      <c r="C44" s="430"/>
      <c r="D44" s="410"/>
      <c r="E44" s="410"/>
      <c r="F44" s="263" t="s">
        <v>261</v>
      </c>
      <c r="G44" s="255">
        <v>2883.876045</v>
      </c>
      <c r="H44" s="399"/>
      <c r="I44" s="263" t="s">
        <v>256</v>
      </c>
      <c r="J44" s="201">
        <v>455.98365940000002</v>
      </c>
    </row>
    <row r="45" spans="1:14" s="8" customFormat="1" ht="45" x14ac:dyDescent="0.25">
      <c r="A45" s="395"/>
      <c r="B45" s="430"/>
      <c r="C45" s="430"/>
      <c r="D45" s="410"/>
      <c r="E45" s="410"/>
      <c r="F45" s="263"/>
      <c r="G45" s="255">
        <v>2620.1652435999995</v>
      </c>
      <c r="H45" s="399"/>
      <c r="I45" s="263" t="s">
        <v>259</v>
      </c>
      <c r="J45" s="201">
        <v>34.634238999999994</v>
      </c>
      <c r="N45" s="188">
        <f>G45+G76</f>
        <v>2662.0102935999994</v>
      </c>
    </row>
    <row r="46" spans="1:14" s="8" customFormat="1" ht="53.25" customHeight="1" x14ac:dyDescent="0.25">
      <c r="A46" s="395"/>
      <c r="B46" s="241"/>
      <c r="C46" s="241"/>
      <c r="D46" s="244"/>
      <c r="E46" s="255"/>
      <c r="F46" s="263"/>
      <c r="G46" s="255"/>
      <c r="H46" s="447"/>
      <c r="I46" s="263" t="s">
        <v>261</v>
      </c>
      <c r="J46" s="201">
        <v>3964.9390275999995</v>
      </c>
    </row>
    <row r="47" spans="1:14" s="8" customFormat="1" ht="23.25" customHeight="1" x14ac:dyDescent="0.25">
      <c r="A47" s="395"/>
      <c r="B47" s="456" t="s">
        <v>266</v>
      </c>
      <c r="C47" s="457"/>
      <c r="D47" s="244"/>
      <c r="E47" s="255">
        <f>G47</f>
        <v>3482.1039372</v>
      </c>
      <c r="F47" s="263"/>
      <c r="G47" s="255">
        <v>3482.1039372</v>
      </c>
      <c r="H47" s="255">
        <f>J47</f>
        <v>3482.1039372</v>
      </c>
      <c r="I47" s="263"/>
      <c r="J47" s="201">
        <v>3482.1039372</v>
      </c>
    </row>
    <row r="48" spans="1:14" s="8" customFormat="1" ht="45" x14ac:dyDescent="0.25">
      <c r="A48" s="395"/>
      <c r="B48" s="413" t="s">
        <v>42</v>
      </c>
      <c r="C48" s="413" t="s">
        <v>52</v>
      </c>
      <c r="D48" s="455">
        <f>7700000/1000</f>
        <v>7700</v>
      </c>
      <c r="E48" s="410">
        <f>SUM(G48:G55)</f>
        <v>2127.5577564</v>
      </c>
      <c r="F48" s="263" t="s">
        <v>53</v>
      </c>
      <c r="G48" s="255">
        <f>513728.95/1000</f>
        <v>513.72895000000005</v>
      </c>
      <c r="H48" s="410">
        <f>SUM(J48:J54)</f>
        <v>2627.3949148000002</v>
      </c>
      <c r="I48" s="263" t="s">
        <v>54</v>
      </c>
      <c r="J48" s="201">
        <f>4024.8148/1000</f>
        <v>4.0248147999999997</v>
      </c>
    </row>
    <row r="49" spans="1:11" s="8" customFormat="1" ht="49.5" customHeight="1" x14ac:dyDescent="0.25">
      <c r="A49" s="395"/>
      <c r="B49" s="420"/>
      <c r="C49" s="420"/>
      <c r="D49" s="399"/>
      <c r="E49" s="410"/>
      <c r="F49" s="263" t="s">
        <v>55</v>
      </c>
      <c r="G49" s="255">
        <f>100040.74/1000</f>
        <v>100.04074</v>
      </c>
      <c r="H49" s="410"/>
      <c r="I49" s="263" t="s">
        <v>163</v>
      </c>
      <c r="J49" s="201">
        <v>341.8673344</v>
      </c>
    </row>
    <row r="50" spans="1:11" s="8" customFormat="1" ht="50.25" customHeight="1" x14ac:dyDescent="0.25">
      <c r="A50" s="395"/>
      <c r="B50" s="420"/>
      <c r="C50" s="420"/>
      <c r="D50" s="399"/>
      <c r="E50" s="410"/>
      <c r="F50" s="263" t="s">
        <v>56</v>
      </c>
      <c r="G50" s="255">
        <f>73031.03/1000</f>
        <v>73.031030000000001</v>
      </c>
      <c r="H50" s="410"/>
      <c r="I50" s="263" t="s">
        <v>176</v>
      </c>
      <c r="J50" s="201">
        <f>(128971.48/1000)*1.18</f>
        <v>152.18634639999996</v>
      </c>
      <c r="K50" s="8">
        <f>J50*1000</f>
        <v>152186.34639999995</v>
      </c>
    </row>
    <row r="51" spans="1:11" s="8" customFormat="1" ht="45" x14ac:dyDescent="0.25">
      <c r="A51" s="395"/>
      <c r="B51" s="420"/>
      <c r="C51" s="420"/>
      <c r="D51" s="399"/>
      <c r="E51" s="410"/>
      <c r="F51" s="263" t="s">
        <v>57</v>
      </c>
      <c r="G51" s="255">
        <f>122959.86/1000</f>
        <v>122.95986000000001</v>
      </c>
      <c r="H51" s="410"/>
      <c r="I51" s="263" t="s">
        <v>255</v>
      </c>
      <c r="J51" s="28">
        <v>1717.2884796000001</v>
      </c>
    </row>
    <row r="52" spans="1:11" s="8" customFormat="1" ht="35.25" customHeight="1" x14ac:dyDescent="0.25">
      <c r="A52" s="395"/>
      <c r="B52" s="420"/>
      <c r="C52" s="420"/>
      <c r="D52" s="399"/>
      <c r="E52" s="410"/>
      <c r="F52" s="263" t="s">
        <v>58</v>
      </c>
      <c r="G52" s="255">
        <f>819718.69/1000</f>
        <v>819.71868999999992</v>
      </c>
      <c r="H52" s="410"/>
      <c r="I52" s="263" t="s">
        <v>261</v>
      </c>
      <c r="J52" s="28">
        <v>412.02793959999991</v>
      </c>
    </row>
    <row r="53" spans="1:11" s="8" customFormat="1" ht="35.25" customHeight="1" x14ac:dyDescent="0.25">
      <c r="A53" s="395"/>
      <c r="B53" s="420"/>
      <c r="C53" s="420"/>
      <c r="D53" s="399"/>
      <c r="E53" s="410"/>
      <c r="F53" s="263" t="s">
        <v>59</v>
      </c>
      <c r="G53" s="255">
        <v>4.0248100000000004</v>
      </c>
      <c r="H53" s="410"/>
      <c r="I53" s="263" t="s">
        <v>19</v>
      </c>
      <c r="J53" s="28" t="s">
        <v>19</v>
      </c>
    </row>
    <row r="54" spans="1:11" s="8" customFormat="1" ht="30" x14ac:dyDescent="0.25">
      <c r="A54" s="395"/>
      <c r="B54" s="420"/>
      <c r="C54" s="420"/>
      <c r="D54" s="399"/>
      <c r="E54" s="455"/>
      <c r="F54" s="249" t="s">
        <v>186</v>
      </c>
      <c r="G54" s="244">
        <f>341867.33/1000</f>
        <v>341.86733000000004</v>
      </c>
      <c r="H54" s="455"/>
      <c r="I54" s="249" t="s">
        <v>19</v>
      </c>
      <c r="J54" s="185" t="s">
        <v>19</v>
      </c>
    </row>
    <row r="55" spans="1:11" s="8" customFormat="1" ht="33.75" customHeight="1" x14ac:dyDescent="0.25">
      <c r="A55" s="395"/>
      <c r="B55" s="256"/>
      <c r="C55" s="256"/>
      <c r="D55" s="245"/>
      <c r="E55" s="244"/>
      <c r="F55" s="249" t="s">
        <v>261</v>
      </c>
      <c r="G55" s="244">
        <v>152.18634639999996</v>
      </c>
      <c r="H55" s="244"/>
      <c r="I55" s="249"/>
      <c r="J55" s="294"/>
    </row>
    <row r="56" spans="1:11" s="8" customFormat="1" ht="26.25" customHeight="1" x14ac:dyDescent="0.25">
      <c r="A56" s="395"/>
      <c r="B56" s="408" t="s">
        <v>267</v>
      </c>
      <c r="C56" s="408"/>
      <c r="D56" s="255"/>
      <c r="E56" s="255">
        <f>G56</f>
        <v>7137.4930101999998</v>
      </c>
      <c r="F56" s="263"/>
      <c r="G56" s="255">
        <v>7137.4930101999998</v>
      </c>
      <c r="H56" s="255">
        <f>J56</f>
        <v>7137.4930101999998</v>
      </c>
      <c r="I56" s="263"/>
      <c r="J56" s="263">
        <v>7137.4930101999998</v>
      </c>
    </row>
    <row r="57" spans="1:11" s="8" customFormat="1" ht="29.25" customHeight="1" x14ac:dyDescent="0.25">
      <c r="A57" s="395"/>
      <c r="B57" s="408" t="s">
        <v>266</v>
      </c>
      <c r="C57" s="408"/>
      <c r="D57" s="255"/>
      <c r="E57" s="255">
        <f>G57</f>
        <v>5919.9195682</v>
      </c>
      <c r="F57" s="263"/>
      <c r="G57" s="255">
        <v>5919.9195682</v>
      </c>
      <c r="H57" s="255">
        <f>J57</f>
        <v>5919.9195682</v>
      </c>
      <c r="I57" s="263"/>
      <c r="J57" s="263">
        <v>5919.9195682</v>
      </c>
    </row>
    <row r="58" spans="1:11" s="8" customFormat="1" ht="60" x14ac:dyDescent="0.25">
      <c r="A58" s="395"/>
      <c r="B58" s="413" t="s">
        <v>60</v>
      </c>
      <c r="C58" s="413" t="s">
        <v>236</v>
      </c>
      <c r="D58" s="455">
        <f>143412108/1000</f>
        <v>143412.10800000001</v>
      </c>
      <c r="E58" s="455">
        <f>SUM(G58:G72)</f>
        <v>57243.230510000001</v>
      </c>
      <c r="F58" s="263" t="s">
        <v>62</v>
      </c>
      <c r="G58" s="255">
        <f>16086573.81/1000</f>
        <v>16086.57381</v>
      </c>
      <c r="H58" s="410">
        <f>SUM(J58:J72)</f>
        <v>1482.5121749999998</v>
      </c>
      <c r="I58" s="263" t="s">
        <v>269</v>
      </c>
      <c r="J58" s="201">
        <v>1482.5121749999998</v>
      </c>
    </row>
    <row r="59" spans="1:11" s="8" customFormat="1" ht="46.5" customHeight="1" x14ac:dyDescent="0.25">
      <c r="A59" s="395"/>
      <c r="B59" s="420"/>
      <c r="C59" s="420"/>
      <c r="D59" s="399"/>
      <c r="E59" s="399"/>
      <c r="F59" s="263" t="s">
        <v>63</v>
      </c>
      <c r="G59" s="255">
        <f>292539.95/1000</f>
        <v>292.53995000000003</v>
      </c>
      <c r="H59" s="410"/>
      <c r="I59" s="263" t="s">
        <v>19</v>
      </c>
      <c r="J59" s="28" t="s">
        <v>19</v>
      </c>
    </row>
    <row r="60" spans="1:11" s="8" customFormat="1" ht="31.5" customHeight="1" x14ac:dyDescent="0.25">
      <c r="A60" s="395"/>
      <c r="B60" s="420"/>
      <c r="C60" s="420"/>
      <c r="D60" s="399"/>
      <c r="E60" s="399"/>
      <c r="F60" s="263" t="s">
        <v>64</v>
      </c>
      <c r="G60" s="255">
        <v>636.48311999999999</v>
      </c>
      <c r="H60" s="410"/>
      <c r="I60" s="263" t="s">
        <v>19</v>
      </c>
      <c r="J60" s="28" t="s">
        <v>19</v>
      </c>
    </row>
    <row r="61" spans="1:11" s="8" customFormat="1" ht="31.5" customHeight="1" x14ac:dyDescent="0.25">
      <c r="A61" s="395"/>
      <c r="B61" s="420"/>
      <c r="C61" s="420"/>
      <c r="D61" s="399"/>
      <c r="E61" s="399"/>
      <c r="F61" s="408" t="s">
        <v>65</v>
      </c>
      <c r="G61" s="255">
        <v>1196.35187</v>
      </c>
      <c r="H61" s="410"/>
      <c r="I61" s="263" t="s">
        <v>19</v>
      </c>
      <c r="J61" s="28" t="s">
        <v>19</v>
      </c>
    </row>
    <row r="62" spans="1:11" s="8" customFormat="1" ht="31.5" customHeight="1" x14ac:dyDescent="0.25">
      <c r="A62" s="395"/>
      <c r="B62" s="420"/>
      <c r="C62" s="412"/>
      <c r="D62" s="447"/>
      <c r="E62" s="399"/>
      <c r="F62" s="408"/>
      <c r="G62" s="255">
        <v>622.94609000000003</v>
      </c>
      <c r="H62" s="410"/>
      <c r="I62" s="263" t="s">
        <v>19</v>
      </c>
      <c r="J62" s="28" t="s">
        <v>19</v>
      </c>
    </row>
    <row r="63" spans="1:11" s="8" customFormat="1" ht="31.5" customHeight="1" x14ac:dyDescent="0.25">
      <c r="A63" s="395" t="s">
        <v>41</v>
      </c>
      <c r="B63" s="420"/>
      <c r="C63" s="420" t="s">
        <v>237</v>
      </c>
      <c r="D63" s="399">
        <f>143769977.9/1000</f>
        <v>143769.9779</v>
      </c>
      <c r="E63" s="399"/>
      <c r="F63" s="263" t="s">
        <v>66</v>
      </c>
      <c r="G63" s="255">
        <v>2955.7913199999998</v>
      </c>
      <c r="H63" s="410"/>
      <c r="I63" s="263" t="s">
        <v>19</v>
      </c>
      <c r="J63" s="28" t="s">
        <v>19</v>
      </c>
    </row>
    <row r="64" spans="1:11" s="8" customFormat="1" ht="31.5" customHeight="1" x14ac:dyDescent="0.25">
      <c r="A64" s="395"/>
      <c r="B64" s="420"/>
      <c r="C64" s="420"/>
      <c r="D64" s="399"/>
      <c r="E64" s="399"/>
      <c r="F64" s="263" t="s">
        <v>67</v>
      </c>
      <c r="G64" s="255">
        <v>3937.3973700000001</v>
      </c>
      <c r="H64" s="410"/>
      <c r="I64" s="263" t="s">
        <v>19</v>
      </c>
      <c r="J64" s="28" t="s">
        <v>19</v>
      </c>
    </row>
    <row r="65" spans="1:10" s="8" customFormat="1" ht="31.5" customHeight="1" x14ac:dyDescent="0.25">
      <c r="A65" s="395"/>
      <c r="B65" s="420"/>
      <c r="C65" s="420"/>
      <c r="D65" s="399"/>
      <c r="E65" s="399"/>
      <c r="F65" s="263" t="s">
        <v>68</v>
      </c>
      <c r="G65" s="255">
        <v>7794.63627</v>
      </c>
      <c r="H65" s="410"/>
      <c r="I65" s="263" t="s">
        <v>19</v>
      </c>
      <c r="J65" s="28" t="s">
        <v>19</v>
      </c>
    </row>
    <row r="66" spans="1:10" s="8" customFormat="1" ht="31.5" customHeight="1" x14ac:dyDescent="0.25">
      <c r="A66" s="395"/>
      <c r="B66" s="420"/>
      <c r="C66" s="420"/>
      <c r="D66" s="399"/>
      <c r="E66" s="399"/>
      <c r="F66" s="263" t="s">
        <v>69</v>
      </c>
      <c r="G66" s="255">
        <v>8396.4669300000005</v>
      </c>
      <c r="H66" s="410"/>
      <c r="I66" s="263" t="s">
        <v>19</v>
      </c>
      <c r="J66" s="28" t="s">
        <v>19</v>
      </c>
    </row>
    <row r="67" spans="1:10" s="8" customFormat="1" ht="31.5" customHeight="1" x14ac:dyDescent="0.25">
      <c r="A67" s="395"/>
      <c r="B67" s="420"/>
      <c r="C67" s="420"/>
      <c r="D67" s="399"/>
      <c r="E67" s="399"/>
      <c r="F67" s="263" t="s">
        <v>190</v>
      </c>
      <c r="G67" s="255">
        <v>5037.8801599999997</v>
      </c>
      <c r="H67" s="410"/>
      <c r="I67" s="263" t="s">
        <v>19</v>
      </c>
      <c r="J67" s="28" t="s">
        <v>19</v>
      </c>
    </row>
    <row r="68" spans="1:10" s="8" customFormat="1" ht="31.5" customHeight="1" x14ac:dyDescent="0.25">
      <c r="A68" s="395"/>
      <c r="B68" s="420"/>
      <c r="C68" s="420"/>
      <c r="D68" s="399"/>
      <c r="E68" s="399"/>
      <c r="F68" s="263" t="s">
        <v>191</v>
      </c>
      <c r="G68" s="255">
        <v>4676.7817599999998</v>
      </c>
      <c r="H68" s="410"/>
      <c r="I68" s="263" t="s">
        <v>19</v>
      </c>
      <c r="J68" s="28" t="s">
        <v>19</v>
      </c>
    </row>
    <row r="69" spans="1:10" s="8" customFormat="1" ht="31.5" customHeight="1" x14ac:dyDescent="0.25">
      <c r="A69" s="395"/>
      <c r="B69" s="420"/>
      <c r="C69" s="420"/>
      <c r="D69" s="399"/>
      <c r="E69" s="399"/>
      <c r="F69" s="263" t="s">
        <v>199</v>
      </c>
      <c r="G69" s="255">
        <v>1773.47479</v>
      </c>
      <c r="H69" s="410"/>
      <c r="I69" s="263" t="s">
        <v>19</v>
      </c>
      <c r="J69" s="28" t="s">
        <v>19</v>
      </c>
    </row>
    <row r="70" spans="1:10" s="8" customFormat="1" ht="31.5" customHeight="1" x14ac:dyDescent="0.25">
      <c r="A70" s="395"/>
      <c r="B70" s="420"/>
      <c r="C70" s="420"/>
      <c r="D70" s="399"/>
      <c r="E70" s="399"/>
      <c r="F70" s="263" t="s">
        <v>196</v>
      </c>
      <c r="G70" s="255">
        <v>2362.43842</v>
      </c>
      <c r="H70" s="410"/>
      <c r="I70" s="263" t="s">
        <v>19</v>
      </c>
      <c r="J70" s="28" t="s">
        <v>19</v>
      </c>
    </row>
    <row r="71" spans="1:10" s="8" customFormat="1" ht="31.5" customHeight="1" x14ac:dyDescent="0.25">
      <c r="A71" s="395"/>
      <c r="B71" s="420"/>
      <c r="C71" s="420"/>
      <c r="D71" s="399"/>
      <c r="E71" s="399"/>
      <c r="F71" s="263" t="s">
        <v>195</v>
      </c>
      <c r="G71" s="255">
        <v>1091.5787800000001</v>
      </c>
      <c r="H71" s="410"/>
      <c r="I71" s="263" t="s">
        <v>19</v>
      </c>
      <c r="J71" s="28" t="s">
        <v>19</v>
      </c>
    </row>
    <row r="72" spans="1:10" s="8" customFormat="1" ht="31.5" customHeight="1" x14ac:dyDescent="0.25">
      <c r="A72" s="395"/>
      <c r="B72" s="412"/>
      <c r="C72" s="412"/>
      <c r="D72" s="447"/>
      <c r="E72" s="447"/>
      <c r="F72" s="263" t="s">
        <v>198</v>
      </c>
      <c r="G72" s="255">
        <v>381.88986999999997</v>
      </c>
      <c r="H72" s="410"/>
      <c r="I72" s="263" t="s">
        <v>19</v>
      </c>
      <c r="J72" s="28" t="s">
        <v>19</v>
      </c>
    </row>
    <row r="73" spans="1:10" s="8" customFormat="1" ht="31.5" customHeight="1" x14ac:dyDescent="0.25">
      <c r="A73" s="395"/>
      <c r="B73" s="453" t="s">
        <v>267</v>
      </c>
      <c r="C73" s="454"/>
      <c r="D73" s="245"/>
      <c r="E73" s="245">
        <f>G73</f>
        <v>7794.6363789999996</v>
      </c>
      <c r="F73" s="249"/>
      <c r="G73" s="244">
        <v>7794.6363789999996</v>
      </c>
      <c r="H73" s="244">
        <f t="shared" ref="H73:H79" si="1">J73</f>
        <v>7794.6363789999996</v>
      </c>
      <c r="I73" s="249"/>
      <c r="J73" s="185">
        <v>7794.6363789999996</v>
      </c>
    </row>
    <row r="74" spans="1:10" s="8" customFormat="1" ht="31.5" customHeight="1" x14ac:dyDescent="0.25">
      <c r="A74" s="395"/>
      <c r="B74" s="413" t="s">
        <v>206</v>
      </c>
      <c r="C74" s="413"/>
      <c r="D74" s="249" t="s">
        <v>19</v>
      </c>
      <c r="E74" s="244">
        <f>G74</f>
        <v>130.7268</v>
      </c>
      <c r="F74" s="244" t="s">
        <v>19</v>
      </c>
      <c r="G74" s="244">
        <f>130726.8/1000</f>
        <v>130.7268</v>
      </c>
      <c r="H74" s="244">
        <f t="shared" si="1"/>
        <v>130.7268</v>
      </c>
      <c r="I74" s="244" t="s">
        <v>19</v>
      </c>
      <c r="J74" s="231">
        <f>130726.8/1000</f>
        <v>130.7268</v>
      </c>
    </row>
    <row r="75" spans="1:10" s="8" customFormat="1" ht="31.5" customHeight="1" x14ac:dyDescent="0.25">
      <c r="A75" s="266"/>
      <c r="B75" s="413" t="s">
        <v>262</v>
      </c>
      <c r="C75" s="413"/>
      <c r="D75" s="249" t="s">
        <v>19</v>
      </c>
      <c r="E75" s="244">
        <f t="shared" ref="E75:E77" si="2">G75</f>
        <v>62.11835</v>
      </c>
      <c r="F75" s="244" t="s">
        <v>19</v>
      </c>
      <c r="G75" s="244">
        <v>62.11835</v>
      </c>
      <c r="H75" s="244">
        <f t="shared" si="1"/>
        <v>62.11835</v>
      </c>
      <c r="I75" s="244" t="s">
        <v>19</v>
      </c>
      <c r="J75" s="231">
        <v>62.11835</v>
      </c>
    </row>
    <row r="76" spans="1:10" s="8" customFormat="1" ht="31.5" customHeight="1" x14ac:dyDescent="0.25">
      <c r="A76" s="266"/>
      <c r="B76" s="413" t="s">
        <v>263</v>
      </c>
      <c r="C76" s="413"/>
      <c r="D76" s="249" t="s">
        <v>19</v>
      </c>
      <c r="E76" s="244">
        <f t="shared" si="2"/>
        <v>41.845049999999986</v>
      </c>
      <c r="F76" s="244" t="s">
        <v>19</v>
      </c>
      <c r="G76" s="244">
        <v>41.845049999999986</v>
      </c>
      <c r="H76" s="244">
        <f t="shared" si="1"/>
        <v>41.845049999999986</v>
      </c>
      <c r="I76" s="244" t="s">
        <v>19</v>
      </c>
      <c r="J76" s="231">
        <v>41.845049999999986</v>
      </c>
    </row>
    <row r="77" spans="1:10" s="8" customFormat="1" ht="31.5" customHeight="1" thickBot="1" x14ac:dyDescent="0.3">
      <c r="A77" s="266"/>
      <c r="B77" s="413" t="s">
        <v>264</v>
      </c>
      <c r="C77" s="413"/>
      <c r="D77" s="249" t="s">
        <v>19</v>
      </c>
      <c r="E77" s="244">
        <f t="shared" si="2"/>
        <v>112.54352</v>
      </c>
      <c r="F77" s="244" t="s">
        <v>19</v>
      </c>
      <c r="G77" s="244">
        <v>112.54352</v>
      </c>
      <c r="H77" s="244">
        <f t="shared" si="1"/>
        <v>112.54352</v>
      </c>
      <c r="I77" s="244" t="s">
        <v>19</v>
      </c>
      <c r="J77" s="231">
        <v>112.54352</v>
      </c>
    </row>
    <row r="78" spans="1:10" s="8" customFormat="1" ht="57" customHeight="1" x14ac:dyDescent="0.25">
      <c r="A78" s="450" t="s">
        <v>203</v>
      </c>
      <c r="B78" s="232" t="s">
        <v>204</v>
      </c>
      <c r="C78" s="252" t="s">
        <v>205</v>
      </c>
      <c r="D78" s="233">
        <v>19.6450058</v>
      </c>
      <c r="E78" s="233">
        <f>G78</f>
        <v>0</v>
      </c>
      <c r="F78" s="233"/>
      <c r="G78" s="233"/>
      <c r="H78" s="233">
        <f t="shared" si="1"/>
        <v>19.6450058</v>
      </c>
      <c r="I78" s="272" t="s">
        <v>214</v>
      </c>
      <c r="J78" s="220">
        <v>19.6450058</v>
      </c>
    </row>
    <row r="79" spans="1:10" s="8" customFormat="1" ht="57" customHeight="1" thickBot="1" x14ac:dyDescent="0.3">
      <c r="A79" s="451"/>
      <c r="B79" s="234" t="s">
        <v>60</v>
      </c>
      <c r="C79" s="264" t="s">
        <v>227</v>
      </c>
      <c r="D79" s="235">
        <f>9009348.3/1000</f>
        <v>9009.3483000000015</v>
      </c>
      <c r="E79" s="235"/>
      <c r="F79" s="235"/>
      <c r="G79" s="235"/>
      <c r="H79" s="235">
        <f t="shared" si="1"/>
        <v>2614.6050599999999</v>
      </c>
      <c r="I79" s="202" t="s">
        <v>268</v>
      </c>
      <c r="J79" s="202">
        <v>2614.6050599999999</v>
      </c>
    </row>
    <row r="80" spans="1:10" s="8" customFormat="1" ht="38.25" customHeight="1" x14ac:dyDescent="0.25">
      <c r="A80" s="395" t="s">
        <v>70</v>
      </c>
      <c r="B80" s="452" t="s">
        <v>71</v>
      </c>
      <c r="C80" s="452" t="s">
        <v>72</v>
      </c>
      <c r="D80" s="447">
        <v>76117.5</v>
      </c>
      <c r="E80" s="447">
        <f>SUM(G80:G82)</f>
        <v>68500.004159999997</v>
      </c>
      <c r="F80" s="257" t="s">
        <v>73</v>
      </c>
      <c r="G80" s="246">
        <v>18686.76355</v>
      </c>
      <c r="H80" s="399">
        <f>SUM(J80:J82)</f>
        <v>14586.2296054</v>
      </c>
      <c r="I80" s="257" t="s">
        <v>74</v>
      </c>
      <c r="J80" s="218">
        <f>1581261.2*1.18/1000</f>
        <v>1865.8882159999998</v>
      </c>
    </row>
    <row r="81" spans="1:10" s="8" customFormat="1" ht="38.25" customHeight="1" x14ac:dyDescent="0.25">
      <c r="A81" s="395"/>
      <c r="B81" s="430"/>
      <c r="C81" s="430"/>
      <c r="D81" s="410"/>
      <c r="E81" s="410"/>
      <c r="F81" s="263" t="s">
        <v>19</v>
      </c>
      <c r="G81" s="255" t="s">
        <v>19</v>
      </c>
      <c r="H81" s="399"/>
      <c r="I81" s="263" t="s">
        <v>75</v>
      </c>
      <c r="J81" s="201">
        <v>11356.159224999999</v>
      </c>
    </row>
    <row r="82" spans="1:10" s="8" customFormat="1" ht="38.25" customHeight="1" x14ac:dyDescent="0.25">
      <c r="A82" s="395"/>
      <c r="B82" s="253"/>
      <c r="C82" s="253"/>
      <c r="D82" s="263"/>
      <c r="E82" s="263"/>
      <c r="F82" s="263" t="s">
        <v>197</v>
      </c>
      <c r="G82" s="255">
        <f>49813240.61/1000</f>
        <v>49813.240610000001</v>
      </c>
      <c r="H82" s="447"/>
      <c r="I82" s="263" t="s">
        <v>169</v>
      </c>
      <c r="J82" s="201">
        <f>(1156086.58/1000)*1.18</f>
        <v>1364.1821644000001</v>
      </c>
    </row>
    <row r="83" spans="1:10" s="8" customFormat="1" ht="48" customHeight="1" x14ac:dyDescent="0.25">
      <c r="A83" s="395"/>
      <c r="B83" s="430" t="s">
        <v>76</v>
      </c>
      <c r="C83" s="430"/>
      <c r="D83" s="263" t="s">
        <v>19</v>
      </c>
      <c r="E83" s="263" t="str">
        <f>G83</f>
        <v>__</v>
      </c>
      <c r="F83" s="263" t="s">
        <v>19</v>
      </c>
      <c r="G83" s="263" t="s">
        <v>19</v>
      </c>
      <c r="H83" s="255">
        <f>J83</f>
        <v>20560.291975</v>
      </c>
      <c r="I83" s="255" t="s">
        <v>19</v>
      </c>
      <c r="J83" s="201">
        <f>541.66779+19644.6171198+374.0070652</f>
        <v>20560.291975</v>
      </c>
    </row>
    <row r="84" spans="1:10" s="8" customFormat="1" ht="75.75" thickBot="1" x14ac:dyDescent="0.3">
      <c r="A84" s="396"/>
      <c r="B84" s="264" t="s">
        <v>171</v>
      </c>
      <c r="C84" s="264" t="s">
        <v>165</v>
      </c>
      <c r="D84" s="265">
        <v>99456.01</v>
      </c>
      <c r="E84" s="265">
        <f>G84</f>
        <v>99.45599</v>
      </c>
      <c r="F84" s="270" t="s">
        <v>179</v>
      </c>
      <c r="G84" s="265">
        <f>99455.99/1000</f>
        <v>99.45599</v>
      </c>
      <c r="H84" s="265">
        <f>J84</f>
        <v>99.455993199999995</v>
      </c>
      <c r="I84" s="270" t="s">
        <v>170</v>
      </c>
      <c r="J84" s="202">
        <f>(84284.74/1000)*1.18</f>
        <v>99.455993199999995</v>
      </c>
    </row>
    <row r="85" spans="1:10" s="8" customFormat="1" ht="66.75" customHeight="1" x14ac:dyDescent="0.25">
      <c r="A85" s="444" t="s">
        <v>77</v>
      </c>
      <c r="B85" s="242" t="s">
        <v>78</v>
      </c>
      <c r="C85" s="242" t="s">
        <v>79</v>
      </c>
      <c r="D85" s="245">
        <f>1445500/1000</f>
        <v>1445.5</v>
      </c>
      <c r="E85" s="245">
        <f>SUM(G85:G85)</f>
        <v>335.86793</v>
      </c>
      <c r="F85" s="257" t="s">
        <v>80</v>
      </c>
      <c r="G85" s="246">
        <f>335867.93/1000</f>
        <v>335.86793</v>
      </c>
      <c r="H85" s="245">
        <f>SUM(J85:J85)</f>
        <v>0</v>
      </c>
      <c r="I85" s="257" t="s">
        <v>19</v>
      </c>
      <c r="J85" s="30" t="s">
        <v>19</v>
      </c>
    </row>
    <row r="86" spans="1:10" s="8" customFormat="1" ht="66.75" customHeight="1" x14ac:dyDescent="0.25">
      <c r="A86" s="448"/>
      <c r="B86" s="242" t="s">
        <v>228</v>
      </c>
      <c r="C86" s="242" t="s">
        <v>229</v>
      </c>
      <c r="D86" s="245">
        <f>2193887.84/1000</f>
        <v>2193.8878399999999</v>
      </c>
      <c r="E86" s="245"/>
      <c r="F86" s="257"/>
      <c r="G86" s="246"/>
      <c r="H86" s="245">
        <f>J86</f>
        <v>1504.7760137999999</v>
      </c>
      <c r="I86" s="257" t="s">
        <v>250</v>
      </c>
      <c r="J86" s="218">
        <v>1504.7760137999999</v>
      </c>
    </row>
    <row r="87" spans="1:10" s="8" customFormat="1" ht="66.75" customHeight="1" x14ac:dyDescent="0.25">
      <c r="A87" s="448"/>
      <c r="B87" s="242" t="s">
        <v>234</v>
      </c>
      <c r="C87" s="242" t="s">
        <v>235</v>
      </c>
      <c r="D87" s="245">
        <f>86009.11/1000</f>
        <v>86.009110000000007</v>
      </c>
      <c r="E87" s="245"/>
      <c r="F87" s="257"/>
      <c r="G87" s="246"/>
      <c r="H87" s="245">
        <f>J87</f>
        <v>86.009114399999987</v>
      </c>
      <c r="I87" s="257" t="s">
        <v>258</v>
      </c>
      <c r="J87" s="218">
        <v>86.009114399999987</v>
      </c>
    </row>
    <row r="88" spans="1:10" s="8" customFormat="1" ht="66.75" customHeight="1" thickBot="1" x14ac:dyDescent="0.3">
      <c r="A88" s="445"/>
      <c r="B88" s="242" t="s">
        <v>245</v>
      </c>
      <c r="C88" s="242" t="s">
        <v>246</v>
      </c>
      <c r="D88" s="245">
        <f>200000/1000</f>
        <v>200</v>
      </c>
      <c r="E88" s="245"/>
      <c r="F88" s="257"/>
      <c r="G88" s="246"/>
      <c r="H88" s="245">
        <f>J88</f>
        <v>200</v>
      </c>
      <c r="I88" s="257" t="s">
        <v>261</v>
      </c>
      <c r="J88" s="218">
        <v>200</v>
      </c>
    </row>
    <row r="89" spans="1:10" s="8" customFormat="1" ht="59.25" customHeight="1" thickBot="1" x14ac:dyDescent="0.3">
      <c r="A89" s="444" t="s">
        <v>81</v>
      </c>
      <c r="B89" s="252" t="s">
        <v>82</v>
      </c>
      <c r="C89" s="252" t="s">
        <v>83</v>
      </c>
      <c r="D89" s="254">
        <f>8181813.14/1000</f>
        <v>8181.8131399999993</v>
      </c>
      <c r="E89" s="254">
        <f>SUM(G89:G89)</f>
        <v>0</v>
      </c>
      <c r="F89" s="252" t="s">
        <v>19</v>
      </c>
      <c r="G89" s="254" t="s">
        <v>19</v>
      </c>
      <c r="H89" s="254">
        <f>SUM(J89:J89)</f>
        <v>0</v>
      </c>
      <c r="I89" s="252" t="s">
        <v>19</v>
      </c>
      <c r="J89" s="18" t="s">
        <v>19</v>
      </c>
    </row>
    <row r="90" spans="1:10" s="8" customFormat="1" ht="50.25" customHeight="1" thickBot="1" x14ac:dyDescent="0.3">
      <c r="A90" s="448"/>
      <c r="B90" s="242" t="s">
        <v>84</v>
      </c>
      <c r="C90" s="242" t="s">
        <v>85</v>
      </c>
      <c r="D90" s="245">
        <f>514893.6/1000</f>
        <v>514.89359999999999</v>
      </c>
      <c r="E90" s="245">
        <f>G90</f>
        <v>514.89359999999999</v>
      </c>
      <c r="F90" s="242" t="s">
        <v>86</v>
      </c>
      <c r="G90" s="221">
        <f>514893.6/1000</f>
        <v>514.89359999999999</v>
      </c>
      <c r="H90" s="254">
        <f>SUM(J90:J90)</f>
        <v>0</v>
      </c>
      <c r="I90" s="242" t="s">
        <v>19</v>
      </c>
      <c r="J90" s="126" t="s">
        <v>19</v>
      </c>
    </row>
    <row r="91" spans="1:10" s="8" customFormat="1" ht="50.25" customHeight="1" thickBot="1" x14ac:dyDescent="0.3">
      <c r="A91" s="448"/>
      <c r="B91" s="430" t="s">
        <v>162</v>
      </c>
      <c r="C91" s="430" t="s">
        <v>166</v>
      </c>
      <c r="D91" s="410">
        <f>1870809/1000</f>
        <v>1870.809</v>
      </c>
      <c r="E91" s="410">
        <f>G91+G92+G93</f>
        <v>1870.80927</v>
      </c>
      <c r="F91" s="253" t="s">
        <v>180</v>
      </c>
      <c r="G91" s="255">
        <f>426279.58/1000</f>
        <v>426.27958000000001</v>
      </c>
      <c r="H91" s="254">
        <f t="shared" ref="H91:H93" si="3">SUM(J91:J91)</f>
        <v>0</v>
      </c>
      <c r="I91" s="253" t="s">
        <v>19</v>
      </c>
      <c r="J91" s="28" t="s">
        <v>19</v>
      </c>
    </row>
    <row r="92" spans="1:10" s="8" customFormat="1" ht="50.25" customHeight="1" thickBot="1" x14ac:dyDescent="0.3">
      <c r="A92" s="448"/>
      <c r="B92" s="430"/>
      <c r="C92" s="430"/>
      <c r="D92" s="410"/>
      <c r="E92" s="410"/>
      <c r="F92" s="253" t="s">
        <v>182</v>
      </c>
      <c r="G92" s="255">
        <f>506089.2/1000</f>
        <v>506.08920000000001</v>
      </c>
      <c r="H92" s="254">
        <f t="shared" si="3"/>
        <v>0</v>
      </c>
      <c r="I92" s="253" t="s">
        <v>19</v>
      </c>
      <c r="J92" s="28" t="s">
        <v>19</v>
      </c>
    </row>
    <row r="93" spans="1:10" s="8" customFormat="1" ht="50.25" customHeight="1" thickBot="1" x14ac:dyDescent="0.3">
      <c r="A93" s="445"/>
      <c r="B93" s="431"/>
      <c r="C93" s="431"/>
      <c r="D93" s="411"/>
      <c r="E93" s="411"/>
      <c r="F93" s="264" t="s">
        <v>181</v>
      </c>
      <c r="G93" s="265">
        <f>938440.49/1000</f>
        <v>938.44048999999995</v>
      </c>
      <c r="H93" s="254">
        <f t="shared" si="3"/>
        <v>0</v>
      </c>
      <c r="I93" s="264" t="s">
        <v>19</v>
      </c>
      <c r="J93" s="153" t="s">
        <v>19</v>
      </c>
    </row>
    <row r="94" spans="1:10" s="8" customFormat="1" ht="75" customHeight="1" x14ac:dyDescent="0.25">
      <c r="A94" s="440" t="s">
        <v>87</v>
      </c>
      <c r="B94" s="271" t="s">
        <v>88</v>
      </c>
      <c r="C94" s="242" t="s">
        <v>89</v>
      </c>
      <c r="D94" s="245">
        <v>1986</v>
      </c>
      <c r="E94" s="245">
        <f>SUM(G94)</f>
        <v>1986</v>
      </c>
      <c r="F94" s="242" t="s">
        <v>90</v>
      </c>
      <c r="G94" s="155">
        <v>1986</v>
      </c>
      <c r="H94" s="267">
        <f>SUM(J94)</f>
        <v>0</v>
      </c>
      <c r="I94" s="242" t="s">
        <v>19</v>
      </c>
      <c r="J94" s="126" t="s">
        <v>19</v>
      </c>
    </row>
    <row r="95" spans="1:10" s="8" customFormat="1" ht="75" customHeight="1" x14ac:dyDescent="0.25">
      <c r="A95" s="441"/>
      <c r="B95" s="271" t="s">
        <v>238</v>
      </c>
      <c r="C95" s="242" t="s">
        <v>239</v>
      </c>
      <c r="D95" s="245">
        <f>5648628.51/1000</f>
        <v>5648.6285099999996</v>
      </c>
      <c r="E95" s="245">
        <f t="shared" ref="E95:E96" si="4">SUM(G95)</f>
        <v>0</v>
      </c>
      <c r="F95" s="242"/>
      <c r="G95" s="155"/>
      <c r="H95" s="267">
        <f>SUM(J95)</f>
        <v>3213.4857989999996</v>
      </c>
      <c r="I95" s="273" t="s">
        <v>261</v>
      </c>
      <c r="J95" s="126">
        <v>3213.4857989999996</v>
      </c>
    </row>
    <row r="96" spans="1:10" s="8" customFormat="1" ht="75" customHeight="1" x14ac:dyDescent="0.25">
      <c r="A96" s="441"/>
      <c r="B96" s="269" t="s">
        <v>243</v>
      </c>
      <c r="C96" s="3" t="s">
        <v>244</v>
      </c>
      <c r="D96" s="245"/>
      <c r="E96" s="245">
        <f t="shared" si="4"/>
        <v>0</v>
      </c>
      <c r="F96" s="242"/>
      <c r="G96" s="155"/>
      <c r="H96" s="267">
        <f>SUM(J96)</f>
        <v>707.28822400000001</v>
      </c>
      <c r="I96" s="273"/>
      <c r="J96" s="126">
        <v>707.28822400000001</v>
      </c>
    </row>
    <row r="97" spans="1:10" s="8" customFormat="1" ht="25.5" customHeight="1" thickBot="1" x14ac:dyDescent="0.3">
      <c r="A97" s="442"/>
      <c r="B97" s="443" t="s">
        <v>266</v>
      </c>
      <c r="C97" s="426"/>
      <c r="D97" s="245"/>
      <c r="E97" s="245">
        <f>SUM(G97)</f>
        <v>1675.9343766</v>
      </c>
      <c r="F97" s="242"/>
      <c r="G97" s="155">
        <v>1675.9343766</v>
      </c>
      <c r="H97" s="267">
        <f>SUM(J97)</f>
        <v>1675.9343766000002</v>
      </c>
      <c r="I97" s="273"/>
      <c r="J97" s="126">
        <v>1675.9343766000002</v>
      </c>
    </row>
    <row r="98" spans="1:10" s="8" customFormat="1" ht="75" customHeight="1" thickBot="1" x14ac:dyDescent="0.3">
      <c r="A98" s="444" t="s">
        <v>224</v>
      </c>
      <c r="B98" s="446" t="s">
        <v>225</v>
      </c>
      <c r="C98" s="446" t="s">
        <v>226</v>
      </c>
      <c r="D98" s="446">
        <f>741350/1000</f>
        <v>741.35</v>
      </c>
      <c r="E98" s="446"/>
      <c r="F98" s="35"/>
      <c r="G98" s="230"/>
      <c r="H98" s="416">
        <f>SUM(J98:J99)</f>
        <v>726.37329879999993</v>
      </c>
      <c r="I98" s="50" t="s">
        <v>249</v>
      </c>
      <c r="J98" s="277">
        <f>700337.2688/1000</f>
        <v>700.33726879999995</v>
      </c>
    </row>
    <row r="99" spans="1:10" s="8" customFormat="1" ht="75" customHeight="1" thickBot="1" x14ac:dyDescent="0.3">
      <c r="A99" s="445"/>
      <c r="B99" s="398"/>
      <c r="C99" s="398"/>
      <c r="D99" s="398"/>
      <c r="E99" s="398"/>
      <c r="F99" s="242"/>
      <c r="G99" s="155"/>
      <c r="H99" s="449"/>
      <c r="I99" s="50" t="s">
        <v>249</v>
      </c>
      <c r="J99" s="18">
        <f>26036.03/1000</f>
        <v>26.03603</v>
      </c>
    </row>
    <row r="100" spans="1:10" ht="45" customHeight="1" x14ac:dyDescent="0.25">
      <c r="A100" s="435" t="s">
        <v>91</v>
      </c>
      <c r="B100" s="436" t="s">
        <v>92</v>
      </c>
      <c r="C100" s="436" t="s">
        <v>93</v>
      </c>
      <c r="D100" s="436">
        <v>118900</v>
      </c>
      <c r="E100" s="437">
        <f>SUM(G100:G105)</f>
        <v>15421.205240000001</v>
      </c>
      <c r="F100" s="252" t="s">
        <v>94</v>
      </c>
      <c r="G100" s="222">
        <v>1500</v>
      </c>
      <c r="H100" s="438">
        <f>SUM(J100:J111)</f>
        <v>27870.841260000001</v>
      </c>
      <c r="I100" s="50" t="s">
        <v>95</v>
      </c>
      <c r="J100" s="18">
        <f>3754970*1.18/1000</f>
        <v>4430.8645999999999</v>
      </c>
    </row>
    <row r="101" spans="1:10" ht="45" customHeight="1" x14ac:dyDescent="0.25">
      <c r="A101" s="395"/>
      <c r="B101" s="427"/>
      <c r="C101" s="427"/>
      <c r="D101" s="427"/>
      <c r="E101" s="427"/>
      <c r="F101" s="243" t="s">
        <v>96</v>
      </c>
      <c r="G101" s="223">
        <v>2708.9962799999998</v>
      </c>
      <c r="H101" s="420"/>
      <c r="I101" s="41" t="s">
        <v>19</v>
      </c>
      <c r="J101" s="53" t="s">
        <v>19</v>
      </c>
    </row>
    <row r="102" spans="1:10" ht="45" customHeight="1" x14ac:dyDescent="0.25">
      <c r="A102" s="395"/>
      <c r="B102" s="427"/>
      <c r="C102" s="427"/>
      <c r="D102" s="427"/>
      <c r="E102" s="427"/>
      <c r="F102" s="243" t="s">
        <v>97</v>
      </c>
      <c r="G102" s="255">
        <v>4430.8645999999999</v>
      </c>
      <c r="H102" s="420"/>
      <c r="I102" s="263" t="s">
        <v>19</v>
      </c>
      <c r="J102" s="40" t="s">
        <v>19</v>
      </c>
    </row>
    <row r="103" spans="1:10" ht="45" customHeight="1" x14ac:dyDescent="0.25">
      <c r="A103" s="395"/>
      <c r="B103" s="427"/>
      <c r="C103" s="427"/>
      <c r="D103" s="427"/>
      <c r="E103" s="427"/>
      <c r="F103" s="243" t="s">
        <v>189</v>
      </c>
      <c r="G103" s="223">
        <f>3043458.36/1000</f>
        <v>3043.4583600000001</v>
      </c>
      <c r="H103" s="420"/>
      <c r="I103" s="263" t="s">
        <v>156</v>
      </c>
      <c r="J103" s="201">
        <v>3043.4583600000001</v>
      </c>
    </row>
    <row r="104" spans="1:10" ht="45" customHeight="1" x14ac:dyDescent="0.25">
      <c r="A104" s="395"/>
      <c r="B104" s="427"/>
      <c r="C104" s="427"/>
      <c r="D104" s="427"/>
      <c r="E104" s="427"/>
      <c r="F104" s="243" t="s">
        <v>194</v>
      </c>
      <c r="G104" s="223">
        <f>3737886/1000</f>
        <v>3737.886</v>
      </c>
      <c r="H104" s="420"/>
      <c r="I104" s="263" t="s">
        <v>164</v>
      </c>
      <c r="J104" s="201">
        <v>3739.5533399999999</v>
      </c>
    </row>
    <row r="105" spans="1:10" ht="45" customHeight="1" x14ac:dyDescent="0.25">
      <c r="A105" s="395"/>
      <c r="B105" s="427"/>
      <c r="C105" s="427"/>
      <c r="D105" s="427"/>
      <c r="E105" s="427"/>
      <c r="F105" s="243"/>
      <c r="G105" s="223"/>
      <c r="H105" s="420"/>
      <c r="I105" s="263" t="s">
        <v>161</v>
      </c>
      <c r="J105" s="201">
        <v>-1.6673399999999998</v>
      </c>
    </row>
    <row r="106" spans="1:10" ht="45" customHeight="1" x14ac:dyDescent="0.25">
      <c r="A106" s="395"/>
      <c r="B106" s="427"/>
      <c r="C106" s="427"/>
      <c r="D106" s="427"/>
      <c r="E106" s="427"/>
      <c r="F106" s="243"/>
      <c r="G106" s="223"/>
      <c r="H106" s="420"/>
      <c r="I106" s="263" t="s">
        <v>173</v>
      </c>
      <c r="J106" s="201">
        <f>(311420/1000)*1.18</f>
        <v>367.47559999999999</v>
      </c>
    </row>
    <row r="107" spans="1:10" ht="45" customHeight="1" x14ac:dyDescent="0.25">
      <c r="A107" s="395"/>
      <c r="B107" s="427"/>
      <c r="C107" s="427"/>
      <c r="D107" s="427"/>
      <c r="E107" s="427"/>
      <c r="F107" s="243"/>
      <c r="G107" s="223"/>
      <c r="H107" s="420"/>
      <c r="I107" s="263" t="s">
        <v>174</v>
      </c>
      <c r="J107" s="201">
        <v>597.43399999999997</v>
      </c>
    </row>
    <row r="108" spans="1:10" ht="45" customHeight="1" x14ac:dyDescent="0.25">
      <c r="A108" s="395"/>
      <c r="B108" s="427"/>
      <c r="C108" s="427"/>
      <c r="D108" s="427"/>
      <c r="E108" s="427"/>
      <c r="F108" s="243"/>
      <c r="G108" s="223"/>
      <c r="H108" s="420"/>
      <c r="I108" s="263" t="s">
        <v>212</v>
      </c>
      <c r="J108" s="201">
        <v>893.79571999999996</v>
      </c>
    </row>
    <row r="109" spans="1:10" ht="45" customHeight="1" x14ac:dyDescent="0.25">
      <c r="A109" s="395"/>
      <c r="B109" s="427"/>
      <c r="C109" s="427"/>
      <c r="D109" s="427"/>
      <c r="E109" s="427"/>
      <c r="F109" s="242"/>
      <c r="G109" s="221"/>
      <c r="H109" s="420"/>
      <c r="I109" s="263" t="s">
        <v>248</v>
      </c>
      <c r="J109" s="231">
        <v>4441.6132200000002</v>
      </c>
    </row>
    <row r="110" spans="1:10" ht="45" customHeight="1" x14ac:dyDescent="0.25">
      <c r="A110" s="395"/>
      <c r="B110" s="427"/>
      <c r="C110" s="427"/>
      <c r="D110" s="427"/>
      <c r="E110" s="427"/>
      <c r="F110" s="242"/>
      <c r="G110" s="221"/>
      <c r="H110" s="420"/>
      <c r="I110" s="263" t="s">
        <v>257</v>
      </c>
      <c r="J110" s="231">
        <v>4343.0312999999996</v>
      </c>
    </row>
    <row r="111" spans="1:10" ht="45" customHeight="1" x14ac:dyDescent="0.25">
      <c r="A111" s="395"/>
      <c r="B111" s="427"/>
      <c r="C111" s="427"/>
      <c r="D111" s="427"/>
      <c r="E111" s="427"/>
      <c r="F111" s="242"/>
      <c r="G111" s="221"/>
      <c r="H111" s="412"/>
      <c r="I111" s="249" t="s">
        <v>261</v>
      </c>
      <c r="J111" s="231">
        <v>6015.2824600000004</v>
      </c>
    </row>
    <row r="112" spans="1:10" ht="45" hidden="1" customHeight="1" x14ac:dyDescent="0.25">
      <c r="A112" s="395"/>
      <c r="B112" s="290"/>
      <c r="C112" s="295"/>
      <c r="D112" s="290"/>
      <c r="E112" s="292">
        <f>G112</f>
        <v>19373.670016200002</v>
      </c>
      <c r="F112" s="291" t="s">
        <v>261</v>
      </c>
      <c r="G112" s="292">
        <v>19373.670016200002</v>
      </c>
      <c r="H112" s="288"/>
      <c r="I112" s="296"/>
      <c r="J112" s="238"/>
    </row>
    <row r="113" spans="1:13" ht="45" customHeight="1" thickBot="1" x14ac:dyDescent="0.3">
      <c r="A113" s="395"/>
      <c r="B113" s="425" t="s">
        <v>206</v>
      </c>
      <c r="C113" s="426"/>
      <c r="D113" s="268" t="s">
        <v>19</v>
      </c>
      <c r="E113" s="260">
        <f>G113</f>
        <v>239.84057000000001</v>
      </c>
      <c r="F113" s="258" t="s">
        <v>19</v>
      </c>
      <c r="G113" s="224">
        <f>239840.57/1000</f>
        <v>239.84057000000001</v>
      </c>
      <c r="H113" s="265">
        <f>J113</f>
        <v>239.84057000000001</v>
      </c>
      <c r="I113" s="270" t="s">
        <v>19</v>
      </c>
      <c r="J113" s="202">
        <f>239840.57/1000</f>
        <v>239.84057000000001</v>
      </c>
    </row>
    <row r="114" spans="1:13" ht="45" customHeight="1" thickBot="1" x14ac:dyDescent="0.3">
      <c r="A114" s="395"/>
      <c r="B114" s="425" t="s">
        <v>262</v>
      </c>
      <c r="C114" s="426"/>
      <c r="D114" s="268" t="s">
        <v>19</v>
      </c>
      <c r="E114" s="260">
        <f t="shared" ref="E114:E116" si="5">G114</f>
        <v>119.8629</v>
      </c>
      <c r="F114" s="258" t="s">
        <v>19</v>
      </c>
      <c r="G114" s="224">
        <v>119.8629</v>
      </c>
      <c r="H114" s="265">
        <f t="shared" ref="H114:H116" si="6">J114</f>
        <v>119.8629</v>
      </c>
      <c r="I114" s="270" t="s">
        <v>19</v>
      </c>
      <c r="J114" s="202">
        <v>119.8629</v>
      </c>
    </row>
    <row r="115" spans="1:13" ht="45" customHeight="1" thickBot="1" x14ac:dyDescent="0.3">
      <c r="A115" s="395"/>
      <c r="B115" s="425" t="s">
        <v>263</v>
      </c>
      <c r="C115" s="426"/>
      <c r="D115" s="268" t="s">
        <v>19</v>
      </c>
      <c r="E115" s="260">
        <f t="shared" si="5"/>
        <v>131.42073000000002</v>
      </c>
      <c r="F115" s="258" t="s">
        <v>19</v>
      </c>
      <c r="G115" s="224">
        <v>131.42073000000002</v>
      </c>
      <c r="H115" s="265">
        <f t="shared" si="6"/>
        <v>131.42073000000002</v>
      </c>
      <c r="I115" s="270" t="s">
        <v>19</v>
      </c>
      <c r="J115" s="202">
        <v>131.42073000000002</v>
      </c>
    </row>
    <row r="116" spans="1:13" ht="45" customHeight="1" thickBot="1" x14ac:dyDescent="0.3">
      <c r="A116" s="395"/>
      <c r="B116" s="427" t="s">
        <v>264</v>
      </c>
      <c r="C116" s="428"/>
      <c r="D116" s="4"/>
      <c r="E116" s="245">
        <f t="shared" si="5"/>
        <v>200.47611000000001</v>
      </c>
      <c r="F116" s="242" t="s">
        <v>19</v>
      </c>
      <c r="G116" s="221">
        <v>200.47611000000001</v>
      </c>
      <c r="H116" s="244">
        <f t="shared" si="6"/>
        <v>200.47611000000001</v>
      </c>
      <c r="I116" s="256"/>
      <c r="J116" s="221">
        <v>200.47611000000001</v>
      </c>
    </row>
    <row r="117" spans="1:13" ht="45" customHeight="1" x14ac:dyDescent="0.25">
      <c r="A117" s="405" t="s">
        <v>240</v>
      </c>
      <c r="B117" s="429" t="s">
        <v>241</v>
      </c>
      <c r="C117" s="429" t="s">
        <v>242</v>
      </c>
      <c r="D117" s="432">
        <f>7148580.62/1000</f>
        <v>7148.5806199999997</v>
      </c>
      <c r="E117" s="439">
        <f>SUM(G117:G120)</f>
        <v>0</v>
      </c>
      <c r="F117" s="252" t="s">
        <v>19</v>
      </c>
      <c r="G117" s="254"/>
      <c r="H117" s="439">
        <f>SUM(J117:J120)</f>
        <v>6757.1654799999988</v>
      </c>
      <c r="I117" s="272" t="s">
        <v>261</v>
      </c>
      <c r="J117" s="220">
        <v>6470.3187799999996</v>
      </c>
    </row>
    <row r="118" spans="1:13" ht="45" customHeight="1" x14ac:dyDescent="0.25">
      <c r="A118" s="406"/>
      <c r="B118" s="430"/>
      <c r="C118" s="430"/>
      <c r="D118" s="433"/>
      <c r="E118" s="410"/>
      <c r="F118" s="253" t="s">
        <v>19</v>
      </c>
      <c r="G118" s="255"/>
      <c r="H118" s="410"/>
      <c r="I118" s="263" t="s">
        <v>261</v>
      </c>
      <c r="J118" s="201">
        <v>219.05519999999999</v>
      </c>
    </row>
    <row r="119" spans="1:13" ht="45" customHeight="1" x14ac:dyDescent="0.25">
      <c r="A119" s="406"/>
      <c r="B119" s="430"/>
      <c r="C119" s="430"/>
      <c r="D119" s="433"/>
      <c r="E119" s="410"/>
      <c r="F119" s="253" t="s">
        <v>19</v>
      </c>
      <c r="G119" s="255"/>
      <c r="H119" s="410"/>
      <c r="I119" s="263" t="s">
        <v>261</v>
      </c>
      <c r="J119" s="201">
        <v>12.891500000000001</v>
      </c>
      <c r="L119" s="7">
        <v>9.9</v>
      </c>
      <c r="M119" s="293" t="s">
        <v>271</v>
      </c>
    </row>
    <row r="120" spans="1:13" ht="45" customHeight="1" thickBot="1" x14ac:dyDescent="0.3">
      <c r="A120" s="407"/>
      <c r="B120" s="431"/>
      <c r="C120" s="431"/>
      <c r="D120" s="434"/>
      <c r="E120" s="411"/>
      <c r="F120" s="264" t="s">
        <v>19</v>
      </c>
      <c r="G120" s="265"/>
      <c r="H120" s="411"/>
      <c r="I120" s="270" t="s">
        <v>261</v>
      </c>
      <c r="J120" s="202">
        <v>54.9</v>
      </c>
    </row>
    <row r="121" spans="1:13" ht="36.75" customHeight="1" x14ac:dyDescent="0.25">
      <c r="A121" s="421" t="s">
        <v>98</v>
      </c>
      <c r="B121" s="421" t="s">
        <v>99</v>
      </c>
      <c r="C121" s="421" t="s">
        <v>100</v>
      </c>
      <c r="D121" s="421">
        <v>7619.37</v>
      </c>
      <c r="E121" s="423">
        <f>SUM(G121:G131)</f>
        <v>3434.7524900000003</v>
      </c>
      <c r="F121" s="243" t="s">
        <v>101</v>
      </c>
      <c r="G121" s="223">
        <f>649436.5/1000</f>
        <v>649.43650000000002</v>
      </c>
      <c r="H121" s="420">
        <f>SUM(J121:J131)</f>
        <v>5833.6344871999991</v>
      </c>
      <c r="I121" s="412" t="s">
        <v>102</v>
      </c>
      <c r="J121" s="246">
        <f>2175878.11*1.18/1000</f>
        <v>2567.5361697999997</v>
      </c>
    </row>
    <row r="122" spans="1:13" ht="36.75" customHeight="1" x14ac:dyDescent="0.25">
      <c r="A122" s="421"/>
      <c r="B122" s="421"/>
      <c r="C122" s="421"/>
      <c r="D122" s="421"/>
      <c r="E122" s="421"/>
      <c r="F122" s="243" t="s">
        <v>103</v>
      </c>
      <c r="G122" s="223">
        <f>198557.68/1000</f>
        <v>198.55768</v>
      </c>
      <c r="H122" s="420"/>
      <c r="I122" s="408"/>
      <c r="J122" s="255">
        <f>19222.141/1000</f>
        <v>19.222141000000001</v>
      </c>
    </row>
    <row r="123" spans="1:13" ht="45" customHeight="1" x14ac:dyDescent="0.25">
      <c r="A123" s="421"/>
      <c r="B123" s="421"/>
      <c r="C123" s="421"/>
      <c r="D123" s="421"/>
      <c r="E123" s="421"/>
      <c r="F123" s="243" t="s">
        <v>104</v>
      </c>
      <c r="G123" s="223">
        <v>2586.7583100000002</v>
      </c>
      <c r="H123" s="420"/>
      <c r="I123" s="413" t="s">
        <v>105</v>
      </c>
      <c r="J123" s="154">
        <v>780.10994159999996</v>
      </c>
    </row>
    <row r="124" spans="1:13" ht="36.75" customHeight="1" x14ac:dyDescent="0.25">
      <c r="A124" s="421"/>
      <c r="B124" s="421"/>
      <c r="C124" s="421"/>
      <c r="D124" s="421"/>
      <c r="E124" s="421"/>
      <c r="F124" s="253" t="s">
        <v>19</v>
      </c>
      <c r="G124" s="255" t="s">
        <v>19</v>
      </c>
      <c r="H124" s="420"/>
      <c r="I124" s="412"/>
      <c r="J124" s="225">
        <v>62.646070199999997</v>
      </c>
    </row>
    <row r="125" spans="1:13" ht="36.75" customHeight="1" x14ac:dyDescent="0.25">
      <c r="A125" s="421"/>
      <c r="B125" s="421"/>
      <c r="C125" s="421"/>
      <c r="D125" s="421"/>
      <c r="E125" s="421"/>
      <c r="F125" s="243" t="s">
        <v>19</v>
      </c>
      <c r="G125" s="52" t="s">
        <v>19</v>
      </c>
      <c r="H125" s="420"/>
      <c r="I125" s="256" t="s">
        <v>155</v>
      </c>
      <c r="J125" s="154">
        <v>107.57180899999999</v>
      </c>
    </row>
    <row r="126" spans="1:13" ht="36.75" customHeight="1" x14ac:dyDescent="0.25">
      <c r="A126" s="421"/>
      <c r="B126" s="421"/>
      <c r="C126" s="421"/>
      <c r="D126" s="421"/>
      <c r="E126" s="421"/>
      <c r="F126" s="243"/>
      <c r="G126" s="52"/>
      <c r="H126" s="420"/>
      <c r="I126" s="408" t="s">
        <v>251</v>
      </c>
      <c r="J126" s="154">
        <v>1494.6780103999999</v>
      </c>
    </row>
    <row r="127" spans="1:13" ht="36.75" customHeight="1" x14ac:dyDescent="0.25">
      <c r="A127" s="421"/>
      <c r="B127" s="421"/>
      <c r="C127" s="421"/>
      <c r="D127" s="421"/>
      <c r="E127" s="421"/>
      <c r="F127" s="243"/>
      <c r="G127" s="52"/>
      <c r="H127" s="420"/>
      <c r="I127" s="408"/>
      <c r="J127" s="154">
        <v>164.55542499999999</v>
      </c>
    </row>
    <row r="128" spans="1:13" ht="36.75" customHeight="1" x14ac:dyDescent="0.25">
      <c r="A128" s="421"/>
      <c r="B128" s="421"/>
      <c r="C128" s="421"/>
      <c r="D128" s="421"/>
      <c r="E128" s="421"/>
      <c r="F128" s="243"/>
      <c r="G128" s="52"/>
      <c r="H128" s="420"/>
      <c r="I128" s="408"/>
      <c r="J128" s="154">
        <v>108.609737</v>
      </c>
    </row>
    <row r="129" spans="1:10" ht="36.75" customHeight="1" x14ac:dyDescent="0.25">
      <c r="A129" s="421"/>
      <c r="B129" s="421"/>
      <c r="C129" s="421"/>
      <c r="D129" s="421"/>
      <c r="E129" s="421"/>
      <c r="F129" s="243"/>
      <c r="G129" s="52"/>
      <c r="H129" s="420"/>
      <c r="I129" s="408"/>
      <c r="J129" s="154">
        <v>249.38254519999998</v>
      </c>
    </row>
    <row r="130" spans="1:10" ht="36.75" customHeight="1" x14ac:dyDescent="0.25">
      <c r="A130" s="421"/>
      <c r="B130" s="421"/>
      <c r="C130" s="421"/>
      <c r="D130" s="421"/>
      <c r="E130" s="421"/>
      <c r="F130" s="243"/>
      <c r="G130" s="52"/>
      <c r="H130" s="420"/>
      <c r="I130" s="408"/>
      <c r="J130" s="154">
        <v>164.55542499999999</v>
      </c>
    </row>
    <row r="131" spans="1:10" ht="36.75" customHeight="1" thickBot="1" x14ac:dyDescent="0.3">
      <c r="A131" s="422"/>
      <c r="B131" s="422"/>
      <c r="C131" s="422"/>
      <c r="D131" s="422"/>
      <c r="E131" s="422"/>
      <c r="F131" s="243"/>
      <c r="G131" s="52"/>
      <c r="H131" s="424"/>
      <c r="I131" s="408"/>
      <c r="J131" s="154">
        <v>114.767213</v>
      </c>
    </row>
    <row r="132" spans="1:10" ht="45" customHeight="1" x14ac:dyDescent="0.25">
      <c r="A132" s="414" t="s">
        <v>106</v>
      </c>
      <c r="B132" s="416" t="s">
        <v>107</v>
      </c>
      <c r="C132" s="416" t="s">
        <v>108</v>
      </c>
      <c r="D132" s="416">
        <v>6769.35</v>
      </c>
      <c r="E132" s="418">
        <f>SUM(G132:G134)</f>
        <v>2783.8772600000002</v>
      </c>
      <c r="F132" s="252" t="s">
        <v>109</v>
      </c>
      <c r="G132" s="222">
        <f>79484.74/1000</f>
        <v>79.484740000000002</v>
      </c>
      <c r="H132" s="416">
        <f>SUM(J132:J137)</f>
        <v>5835.1024897999996</v>
      </c>
      <c r="I132" s="420" t="s">
        <v>102</v>
      </c>
      <c r="J132" s="226">
        <f>1651360.6*1.18/1000</f>
        <v>1948.6055079999999</v>
      </c>
    </row>
    <row r="133" spans="1:10" ht="45" customHeight="1" x14ac:dyDescent="0.25">
      <c r="A133" s="415"/>
      <c r="B133" s="417"/>
      <c r="C133" s="417"/>
      <c r="D133" s="417"/>
      <c r="E133" s="419"/>
      <c r="F133" s="243" t="s">
        <v>110</v>
      </c>
      <c r="G133" s="223">
        <f>697128.27/1000</f>
        <v>697.12827000000004</v>
      </c>
      <c r="H133" s="417"/>
      <c r="I133" s="412"/>
      <c r="J133" s="154">
        <f>58658.744/1000</f>
        <v>58.658743999999999</v>
      </c>
    </row>
    <row r="134" spans="1:10" ht="45" customHeight="1" x14ac:dyDescent="0.25">
      <c r="A134" s="415"/>
      <c r="B134" s="417"/>
      <c r="C134" s="417"/>
      <c r="D134" s="417"/>
      <c r="E134" s="419"/>
      <c r="F134" s="243" t="s">
        <v>111</v>
      </c>
      <c r="G134" s="223">
        <v>2007.2642499999999</v>
      </c>
      <c r="H134" s="417"/>
      <c r="I134" s="263" t="s">
        <v>19</v>
      </c>
      <c r="J134" s="53" t="s">
        <v>19</v>
      </c>
    </row>
    <row r="135" spans="1:10" ht="45" customHeight="1" x14ac:dyDescent="0.25">
      <c r="A135" s="415"/>
      <c r="B135" s="417"/>
      <c r="C135" s="417"/>
      <c r="D135" s="417"/>
      <c r="E135" s="419"/>
      <c r="F135" s="243" t="s">
        <v>19</v>
      </c>
      <c r="G135" s="52" t="s">
        <v>19</v>
      </c>
      <c r="H135" s="417"/>
      <c r="I135" s="257" t="s">
        <v>155</v>
      </c>
      <c r="J135" s="154">
        <v>228.97817399999997</v>
      </c>
    </row>
    <row r="136" spans="1:10" ht="45" customHeight="1" x14ac:dyDescent="0.25">
      <c r="A136" s="415"/>
      <c r="B136" s="417"/>
      <c r="C136" s="417"/>
      <c r="D136" s="417"/>
      <c r="E136" s="419"/>
      <c r="F136" s="243"/>
      <c r="G136" s="52"/>
      <c r="H136" s="417"/>
      <c r="I136" s="257" t="s">
        <v>155</v>
      </c>
      <c r="J136" s="154">
        <v>1916.5643189999998</v>
      </c>
    </row>
    <row r="137" spans="1:10" ht="45" customHeight="1" thickBot="1" x14ac:dyDescent="0.3">
      <c r="A137" s="415"/>
      <c r="B137" s="417"/>
      <c r="C137" s="417"/>
      <c r="D137" s="417"/>
      <c r="E137" s="419"/>
      <c r="F137" s="242" t="s">
        <v>19</v>
      </c>
      <c r="G137" s="155" t="s">
        <v>19</v>
      </c>
      <c r="H137" s="417"/>
      <c r="I137" s="256" t="s">
        <v>212</v>
      </c>
      <c r="J137" s="213">
        <v>1682.2957448</v>
      </c>
    </row>
    <row r="138" spans="1:10" ht="60" customHeight="1" x14ac:dyDescent="0.25">
      <c r="A138" s="405" t="s">
        <v>112</v>
      </c>
      <c r="B138" s="252" t="s">
        <v>113</v>
      </c>
      <c r="C138" s="252" t="s">
        <v>114</v>
      </c>
      <c r="D138" s="272">
        <f>12730535.39/1000</f>
        <v>12730.535390000001</v>
      </c>
      <c r="E138" s="254">
        <f>SUM(G138:G138)</f>
        <v>3384.1592099999998</v>
      </c>
      <c r="F138" s="252" t="s">
        <v>115</v>
      </c>
      <c r="G138" s="272">
        <f>3384159.21/1000</f>
        <v>3384.1592099999998</v>
      </c>
      <c r="H138" s="254">
        <f>SUM(J138:J138)</f>
        <v>0</v>
      </c>
      <c r="I138" s="272" t="s">
        <v>19</v>
      </c>
      <c r="J138" s="18" t="s">
        <v>19</v>
      </c>
    </row>
    <row r="139" spans="1:10" ht="75.75" customHeight="1" x14ac:dyDescent="0.25">
      <c r="A139" s="406"/>
      <c r="B139" s="253" t="s">
        <v>113</v>
      </c>
      <c r="C139" s="253" t="s">
        <v>116</v>
      </c>
      <c r="D139" s="263">
        <v>19677.026999999998</v>
      </c>
      <c r="E139" s="255">
        <f>SUM(G139:G139)</f>
        <v>7747.4874499999996</v>
      </c>
      <c r="F139" s="253" t="s">
        <v>117</v>
      </c>
      <c r="G139" s="263">
        <v>7747.4874499999996</v>
      </c>
      <c r="H139" s="255">
        <f>SUM(J139:J139)</f>
        <v>0</v>
      </c>
      <c r="I139" s="263" t="s">
        <v>19</v>
      </c>
      <c r="J139" s="28" t="s">
        <v>19</v>
      </c>
    </row>
    <row r="140" spans="1:10" ht="75.75" customHeight="1" x14ac:dyDescent="0.25">
      <c r="A140" s="406"/>
      <c r="B140" s="408" t="s">
        <v>107</v>
      </c>
      <c r="C140" s="408" t="s">
        <v>152</v>
      </c>
      <c r="D140" s="408">
        <v>6856.6313499999997</v>
      </c>
      <c r="E140" s="410">
        <f>SUM(G140:G142)</f>
        <v>2688.4149500000003</v>
      </c>
      <c r="F140" s="253" t="s">
        <v>193</v>
      </c>
      <c r="G140" s="263">
        <f>2437856.31/1000</f>
        <v>2437.8563100000001</v>
      </c>
      <c r="H140" s="410">
        <f>SUM(J140:J143)</f>
        <v>6579.8850367999994</v>
      </c>
      <c r="I140" s="263" t="s">
        <v>154</v>
      </c>
      <c r="J140" s="201">
        <v>250.55863939999998</v>
      </c>
    </row>
    <row r="141" spans="1:10" ht="75.75" customHeight="1" x14ac:dyDescent="0.25">
      <c r="A141" s="406"/>
      <c r="B141" s="408"/>
      <c r="C141" s="408"/>
      <c r="D141" s="408"/>
      <c r="E141" s="410"/>
      <c r="F141" s="253" t="s">
        <v>192</v>
      </c>
      <c r="G141" s="263">
        <f>250558.64/1000</f>
        <v>250.55864000000003</v>
      </c>
      <c r="H141" s="410"/>
      <c r="I141" s="263" t="s">
        <v>153</v>
      </c>
      <c r="J141" s="201">
        <v>2437.8563055999998</v>
      </c>
    </row>
    <row r="142" spans="1:10" ht="75.75" customHeight="1" x14ac:dyDescent="0.25">
      <c r="A142" s="406"/>
      <c r="B142" s="408"/>
      <c r="C142" s="408"/>
      <c r="D142" s="408"/>
      <c r="E142" s="410"/>
      <c r="F142" s="253"/>
      <c r="G142" s="263"/>
      <c r="H142" s="410"/>
      <c r="I142" s="263" t="s">
        <v>172</v>
      </c>
      <c r="J142" s="201">
        <f>(1656886.81/1000)*1.18</f>
        <v>1955.1264357999999</v>
      </c>
    </row>
    <row r="143" spans="1:10" ht="75.75" customHeight="1" thickBot="1" x14ac:dyDescent="0.3">
      <c r="A143" s="407"/>
      <c r="B143" s="409"/>
      <c r="C143" s="409"/>
      <c r="D143" s="409"/>
      <c r="E143" s="411"/>
      <c r="F143" s="264"/>
      <c r="G143" s="270"/>
      <c r="H143" s="411"/>
      <c r="I143" s="270" t="s">
        <v>216</v>
      </c>
      <c r="J143" s="202">
        <v>1936.343656</v>
      </c>
    </row>
    <row r="144" spans="1:10" ht="33.75" customHeight="1" x14ac:dyDescent="0.25">
      <c r="A144" s="395" t="s">
        <v>118</v>
      </c>
      <c r="B144" s="397" t="s">
        <v>119</v>
      </c>
      <c r="C144" s="397" t="s">
        <v>120</v>
      </c>
      <c r="D144" s="399">
        <v>5063.8999999999996</v>
      </c>
      <c r="E144" s="399">
        <f>SUM(G144:G145)</f>
        <v>4169.2383799999998</v>
      </c>
      <c r="F144" s="243" t="s">
        <v>121</v>
      </c>
      <c r="G144" s="246">
        <f>3215238.38/1000</f>
        <v>3215.2383799999998</v>
      </c>
      <c r="H144" s="399">
        <f>SUM(J144:J145)</f>
        <v>0</v>
      </c>
      <c r="I144" s="257" t="s">
        <v>19</v>
      </c>
      <c r="J144" s="30" t="s">
        <v>19</v>
      </c>
    </row>
    <row r="145" spans="1:10" ht="33.75" customHeight="1" thickBot="1" x14ac:dyDescent="0.3">
      <c r="A145" s="396"/>
      <c r="B145" s="398"/>
      <c r="C145" s="398"/>
      <c r="D145" s="400"/>
      <c r="E145" s="400"/>
      <c r="F145" s="258" t="s">
        <v>122</v>
      </c>
      <c r="G145" s="260">
        <f>954000/1000</f>
        <v>954</v>
      </c>
      <c r="H145" s="400"/>
      <c r="I145" s="270" t="s">
        <v>19</v>
      </c>
      <c r="J145" s="23" t="s">
        <v>19</v>
      </c>
    </row>
    <row r="146" spans="1:10" s="8" customFormat="1" ht="42.75" customHeight="1" thickBot="1" x14ac:dyDescent="0.3">
      <c r="A146" s="250" t="s">
        <v>123</v>
      </c>
      <c r="B146" s="251" t="s">
        <v>124</v>
      </c>
      <c r="C146" s="274" t="s">
        <v>125</v>
      </c>
      <c r="D146" s="259">
        <v>692.40700000000004</v>
      </c>
      <c r="E146" s="259">
        <f>SUM(G146:G146)</f>
        <v>344.08287999999999</v>
      </c>
      <c r="F146" s="252" t="s">
        <v>126</v>
      </c>
      <c r="G146" s="254">
        <f>344082.88/1000</f>
        <v>344.08287999999999</v>
      </c>
      <c r="H146" s="259">
        <f>SUM(J146:J146)</f>
        <v>0</v>
      </c>
      <c r="I146" s="252" t="s">
        <v>19</v>
      </c>
      <c r="J146" s="18" t="s">
        <v>19</v>
      </c>
    </row>
    <row r="147" spans="1:10" s="8" customFormat="1" ht="16.5" customHeight="1" thickBot="1" x14ac:dyDescent="0.3">
      <c r="A147" s="32" t="s">
        <v>127</v>
      </c>
      <c r="B147" s="33"/>
      <c r="C147" s="33"/>
      <c r="D147" s="33"/>
      <c r="E147" s="214">
        <f>SUM(E32:E146)</f>
        <v>233182.76031240006</v>
      </c>
      <c r="F147" s="215"/>
      <c r="G147" s="214">
        <f>SUM(G32:G146)</f>
        <v>233182.7603124</v>
      </c>
      <c r="H147" s="214">
        <f>SUM(H32:H146)</f>
        <v>161184.73759899999</v>
      </c>
      <c r="I147" s="215"/>
      <c r="J147" s="216">
        <f>SUM(J32:J146)</f>
        <v>161184.73759899999</v>
      </c>
    </row>
    <row r="148" spans="1:10" s="8" customFormat="1" ht="36.75" customHeight="1" thickBot="1" x14ac:dyDescent="0.3">
      <c r="A148" s="32" t="s">
        <v>128</v>
      </c>
      <c r="B148" s="33"/>
      <c r="C148" s="33"/>
      <c r="D148" s="33"/>
      <c r="E148" s="214">
        <f>G148</f>
        <v>24247.430694948256</v>
      </c>
      <c r="F148" s="215"/>
      <c r="G148" s="214">
        <f>J148</f>
        <v>24247.430694948256</v>
      </c>
      <c r="H148" s="214">
        <f>J148</f>
        <v>24247.430694948256</v>
      </c>
      <c r="I148" s="215"/>
      <c r="J148" s="216">
        <v>24247.430694948256</v>
      </c>
    </row>
    <row r="149" spans="1:10" s="8" customFormat="1" ht="32.25" thickBot="1" x14ac:dyDescent="0.3">
      <c r="A149" s="32" t="s">
        <v>129</v>
      </c>
      <c r="B149" s="33"/>
      <c r="C149" s="33"/>
      <c r="D149" s="33"/>
      <c r="E149" s="214">
        <f>E147+E148</f>
        <v>257430.1910073483</v>
      </c>
      <c r="F149" s="215"/>
      <c r="G149" s="214">
        <f>G147+G148</f>
        <v>257430.19100734824</v>
      </c>
      <c r="H149" s="214">
        <f>H147+H148</f>
        <v>185432.16829394823</v>
      </c>
      <c r="I149" s="215"/>
      <c r="J149" s="216">
        <f>J147+J148</f>
        <v>185432.16829394823</v>
      </c>
    </row>
    <row r="150" spans="1:10" s="8" customFormat="1" ht="48" thickBot="1" x14ac:dyDescent="0.3">
      <c r="A150" s="32" t="s">
        <v>130</v>
      </c>
      <c r="B150" s="33"/>
      <c r="C150" s="33"/>
      <c r="D150" s="33"/>
      <c r="E150" s="214">
        <f>E30+E149</f>
        <v>316748.37972481386</v>
      </c>
      <c r="F150" s="215"/>
      <c r="G150" s="214">
        <f>G30+G149</f>
        <v>315980.0677300138</v>
      </c>
      <c r="H150" s="214">
        <f>H30+H149</f>
        <v>191141.90564101379</v>
      </c>
      <c r="I150" s="215"/>
      <c r="J150" s="216">
        <f>J30+J149</f>
        <v>191141.90564101379</v>
      </c>
    </row>
    <row r="151" spans="1:10" s="8" customFormat="1" ht="15.75" x14ac:dyDescent="0.25">
      <c r="A151" s="57"/>
      <c r="B151" s="57"/>
      <c r="C151" s="57"/>
      <c r="D151" s="57"/>
      <c r="E151" s="58"/>
      <c r="F151" s="4"/>
      <c r="G151" s="58"/>
      <c r="H151" s="58"/>
      <c r="I151" s="4"/>
      <c r="J151" s="58"/>
    </row>
    <row r="152" spans="1:10" s="8" customFormat="1" ht="15.75" x14ac:dyDescent="0.25">
      <c r="A152" s="57"/>
      <c r="B152" s="57"/>
      <c r="C152" s="57"/>
      <c r="D152" s="57"/>
      <c r="E152" s="58"/>
      <c r="F152" s="4"/>
      <c r="G152" s="58"/>
      <c r="H152" s="58"/>
      <c r="I152" s="4"/>
      <c r="J152" s="58"/>
    </row>
    <row r="153" spans="1:10" x14ac:dyDescent="0.25">
      <c r="E153" s="211"/>
      <c r="H153" s="211"/>
    </row>
    <row r="154" spans="1:10" ht="15.75" x14ac:dyDescent="0.25">
      <c r="A154" s="389" t="s">
        <v>270</v>
      </c>
      <c r="B154" s="389"/>
      <c r="C154" s="389"/>
      <c r="D154" s="390"/>
      <c r="E154" s="391"/>
    </row>
    <row r="155" spans="1:10" ht="15.75" x14ac:dyDescent="0.25">
      <c r="A155" s="392" t="s">
        <v>132</v>
      </c>
      <c r="B155" s="392"/>
      <c r="C155" s="392"/>
      <c r="D155" s="393"/>
      <c r="E155" s="393"/>
      <c r="F155" s="211"/>
    </row>
    <row r="156" spans="1:10" ht="15.75" x14ac:dyDescent="0.25">
      <c r="A156" s="392" t="s">
        <v>133</v>
      </c>
      <c r="B156" s="392"/>
      <c r="C156" s="392"/>
      <c r="D156" s="392"/>
      <c r="E156" s="278"/>
      <c r="G156" s="140"/>
    </row>
    <row r="157" spans="1:10" ht="16.5" thickBot="1" x14ac:dyDescent="0.3">
      <c r="A157" s="279"/>
      <c r="B157" s="279"/>
      <c r="C157" s="394"/>
      <c r="D157" s="394"/>
      <c r="E157" s="278"/>
      <c r="F157" s="280"/>
      <c r="G157" s="280"/>
    </row>
    <row r="158" spans="1:10" ht="16.5" thickBot="1" x14ac:dyDescent="0.3">
      <c r="A158" s="281" t="s">
        <v>134</v>
      </c>
      <c r="B158" s="282" t="s">
        <v>135</v>
      </c>
      <c r="C158" s="403" t="s">
        <v>136</v>
      </c>
      <c r="D158" s="404"/>
      <c r="E158" s="278"/>
      <c r="F158" s="280"/>
      <c r="G158" s="280"/>
    </row>
    <row r="159" spans="1:10" ht="16.5" thickBot="1" x14ac:dyDescent="0.3">
      <c r="A159" s="283"/>
      <c r="B159" s="284"/>
      <c r="C159" s="403"/>
      <c r="D159" s="404"/>
      <c r="E159" s="278"/>
      <c r="F159" s="280"/>
      <c r="G159" s="280"/>
    </row>
    <row r="160" spans="1:10" ht="30.75" thickBot="1" x14ac:dyDescent="0.3">
      <c r="A160" s="285" t="s">
        <v>137</v>
      </c>
      <c r="B160" s="68">
        <v>191151.91</v>
      </c>
      <c r="C160" s="401">
        <v>316748.38</v>
      </c>
      <c r="D160" s="402"/>
      <c r="E160" s="280"/>
      <c r="F160"/>
      <c r="G160"/>
      <c r="H160" s="280"/>
      <c r="I160" s="280"/>
      <c r="J160" s="6"/>
    </row>
    <row r="161" spans="1:10" ht="20.25" customHeight="1" thickBot="1" x14ac:dyDescent="0.3">
      <c r="A161" s="285" t="s">
        <v>138</v>
      </c>
      <c r="B161" s="68">
        <v>244408.15</v>
      </c>
      <c r="C161" s="401">
        <v>244408.15</v>
      </c>
      <c r="D161" s="402"/>
      <c r="E161" s="280"/>
      <c r="F161"/>
      <c r="G161"/>
      <c r="H161" s="280"/>
      <c r="I161" s="280"/>
      <c r="J161" s="6"/>
    </row>
    <row r="162" spans="1:10" ht="30.75" thickBot="1" x14ac:dyDescent="0.3">
      <c r="A162" s="285" t="s">
        <v>139</v>
      </c>
      <c r="B162" s="68">
        <v>93195.35</v>
      </c>
      <c r="C162" s="401">
        <v>93183.88</v>
      </c>
      <c r="D162" s="402"/>
      <c r="E162" s="280"/>
      <c r="F162"/>
      <c r="G162"/>
      <c r="H162" s="280"/>
      <c r="I162" s="280"/>
      <c r="J162" s="6"/>
    </row>
    <row r="163" spans="1:10" ht="15.75" thickBot="1" x14ac:dyDescent="0.3">
      <c r="A163" s="286" t="s">
        <v>140</v>
      </c>
      <c r="B163" s="71">
        <v>1161.73</v>
      </c>
      <c r="C163" s="401">
        <v>1412.57</v>
      </c>
      <c r="D163" s="402"/>
      <c r="E163" s="280"/>
      <c r="F163"/>
      <c r="G163"/>
      <c r="H163" s="280"/>
      <c r="I163" s="280"/>
      <c r="J163" s="6"/>
    </row>
    <row r="164" spans="1:10" ht="15.75" thickBot="1" x14ac:dyDescent="0.3">
      <c r="A164" s="286" t="s">
        <v>141</v>
      </c>
      <c r="B164" s="71">
        <v>92033.63</v>
      </c>
      <c r="C164" s="401">
        <v>91771.31</v>
      </c>
      <c r="D164" s="402"/>
      <c r="E164" s="280"/>
      <c r="F164"/>
      <c r="G164"/>
      <c r="H164" s="280"/>
      <c r="I164" s="280"/>
      <c r="J164" s="6"/>
    </row>
    <row r="165" spans="1:10" ht="91.5" customHeight="1" thickBot="1" x14ac:dyDescent="0.3">
      <c r="A165" s="285" t="s">
        <v>147</v>
      </c>
      <c r="B165" s="68">
        <v>313488.53000000003</v>
      </c>
      <c r="C165" s="401">
        <v>302885.82</v>
      </c>
      <c r="D165" s="402"/>
      <c r="E165" s="280"/>
      <c r="F165"/>
      <c r="G165"/>
      <c r="H165" s="280"/>
      <c r="I165" s="280"/>
      <c r="J165" s="6"/>
    </row>
    <row r="166" spans="1:10" ht="34.5" customHeight="1" thickBot="1" x14ac:dyDescent="0.3">
      <c r="A166" s="285" t="s">
        <v>143</v>
      </c>
      <c r="B166" s="68">
        <v>2684.24</v>
      </c>
      <c r="C166" s="401">
        <v>2684.24</v>
      </c>
      <c r="D166" s="402"/>
      <c r="E166" s="280"/>
      <c r="F166"/>
      <c r="G166"/>
      <c r="H166" s="280"/>
      <c r="I166" s="280"/>
      <c r="J166" s="6"/>
    </row>
    <row r="167" spans="1:10" ht="45.75" thickBot="1" x14ac:dyDescent="0.3">
      <c r="A167" s="285" t="s">
        <v>144</v>
      </c>
      <c r="B167" s="68">
        <v>21366.33</v>
      </c>
      <c r="C167" s="401">
        <v>-12469.98</v>
      </c>
      <c r="D167" s="402"/>
      <c r="E167" s="280"/>
      <c r="F167"/>
      <c r="G167"/>
      <c r="H167" s="280"/>
      <c r="I167" s="280"/>
      <c r="J167" s="6"/>
    </row>
    <row r="168" spans="1:10" ht="30.75" thickBot="1" x14ac:dyDescent="0.3">
      <c r="A168" s="286" t="s">
        <v>145</v>
      </c>
      <c r="B168" s="71">
        <v>26453.96</v>
      </c>
      <c r="C168" s="401">
        <v>60290.26</v>
      </c>
      <c r="D168" s="402"/>
      <c r="E168" s="280"/>
      <c r="F168"/>
      <c r="G168"/>
      <c r="H168" s="280"/>
      <c r="I168" s="280"/>
      <c r="J168" s="6"/>
    </row>
    <row r="169" spans="1:10" ht="24" customHeight="1" thickBot="1" x14ac:dyDescent="0.3">
      <c r="A169" s="286" t="s">
        <v>146</v>
      </c>
      <c r="B169" s="71">
        <v>47820.28</v>
      </c>
      <c r="C169" s="401">
        <v>47820.28</v>
      </c>
      <c r="D169" s="402"/>
      <c r="E169" s="280"/>
      <c r="F169"/>
      <c r="G169"/>
      <c r="H169" s="280"/>
      <c r="I169" s="280"/>
      <c r="J169" s="6"/>
    </row>
    <row r="170" spans="1:10" x14ac:dyDescent="0.25">
      <c r="B170" s="211"/>
      <c r="D170" s="211"/>
      <c r="E170" s="280"/>
      <c r="F170"/>
      <c r="G170"/>
      <c r="H170" s="280"/>
      <c r="I170" s="280"/>
      <c r="J170" s="6"/>
    </row>
    <row r="171" spans="1:10" x14ac:dyDescent="0.25">
      <c r="E171" s="280"/>
      <c r="F171" s="280"/>
      <c r="G171" s="280"/>
      <c r="H171" s="280"/>
      <c r="I171" s="280"/>
    </row>
    <row r="172" spans="1:10" ht="48" customHeight="1" x14ac:dyDescent="0.25">
      <c r="A172" s="73" t="s">
        <v>148</v>
      </c>
      <c r="B172" s="74"/>
      <c r="C172" s="6"/>
      <c r="D172" s="6"/>
      <c r="E172" s="75" t="s">
        <v>149</v>
      </c>
      <c r="G172" s="6"/>
      <c r="J172" s="1"/>
    </row>
    <row r="173" spans="1:10" ht="18" x14ac:dyDescent="0.25">
      <c r="A173" s="73"/>
      <c r="B173" s="75"/>
      <c r="C173" s="75"/>
      <c r="G173" s="6"/>
      <c r="J173" s="1"/>
    </row>
    <row r="174" spans="1:10" ht="18" x14ac:dyDescent="0.25">
      <c r="A174" s="73"/>
      <c r="B174" s="75"/>
      <c r="C174" s="75"/>
      <c r="G174" s="6"/>
      <c r="J174" s="1"/>
    </row>
    <row r="175" spans="1:10" ht="18" x14ac:dyDescent="0.25">
      <c r="A175" s="73"/>
      <c r="B175" s="75"/>
      <c r="C175" s="75"/>
      <c r="G175" s="6"/>
      <c r="J175" s="1"/>
    </row>
    <row r="176" spans="1:10" ht="18" x14ac:dyDescent="0.25">
      <c r="A176" s="73"/>
      <c r="B176" s="75"/>
      <c r="C176" s="75"/>
      <c r="G176" s="6"/>
      <c r="J176" s="1"/>
    </row>
    <row r="177" spans="1:10" ht="44.25" customHeight="1" x14ac:dyDescent="0.25">
      <c r="A177" s="73" t="s">
        <v>150</v>
      </c>
      <c r="B177" s="75"/>
      <c r="C177" s="6"/>
      <c r="D177" s="6"/>
      <c r="E177" s="75" t="s">
        <v>151</v>
      </c>
      <c r="G177" s="6"/>
      <c r="J177" s="1"/>
    </row>
  </sheetData>
  <mergeCells count="150"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J9:J10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F9:F10"/>
    <mergeCell ref="H15:H17"/>
    <mergeCell ref="B18:B21"/>
    <mergeCell ref="C18:C21"/>
    <mergeCell ref="D18:D21"/>
    <mergeCell ref="E18:E21"/>
    <mergeCell ref="H18:H21"/>
    <mergeCell ref="G9:G10"/>
    <mergeCell ref="H9:H10"/>
    <mergeCell ref="I9:I10"/>
    <mergeCell ref="B24:C24"/>
    <mergeCell ref="A32:A62"/>
    <mergeCell ref="B32:B45"/>
    <mergeCell ref="C32:C45"/>
    <mergeCell ref="D32:D45"/>
    <mergeCell ref="E32:E45"/>
    <mergeCell ref="H32:H46"/>
    <mergeCell ref="B47:C47"/>
    <mergeCell ref="B48:B54"/>
    <mergeCell ref="E58:E72"/>
    <mergeCell ref="H58:H72"/>
    <mergeCell ref="F61:F62"/>
    <mergeCell ref="C48:C54"/>
    <mergeCell ref="D48:D54"/>
    <mergeCell ref="E48:E54"/>
    <mergeCell ref="H48:H54"/>
    <mergeCell ref="B56:C56"/>
    <mergeCell ref="B57:C57"/>
    <mergeCell ref="A15:A24"/>
    <mergeCell ref="A31:J31"/>
    <mergeCell ref="B15:B17"/>
    <mergeCell ref="C15:C17"/>
    <mergeCell ref="D15:D17"/>
    <mergeCell ref="E15:E17"/>
    <mergeCell ref="B76:C76"/>
    <mergeCell ref="B77:C77"/>
    <mergeCell ref="A78:A79"/>
    <mergeCell ref="A80:A84"/>
    <mergeCell ref="B80:B81"/>
    <mergeCell ref="C80:C81"/>
    <mergeCell ref="A63:A74"/>
    <mergeCell ref="C63:C72"/>
    <mergeCell ref="D63:D72"/>
    <mergeCell ref="B73:C73"/>
    <mergeCell ref="B74:C74"/>
    <mergeCell ref="B75:C75"/>
    <mergeCell ref="B58:B72"/>
    <mergeCell ref="C58:C62"/>
    <mergeCell ref="D58:D62"/>
    <mergeCell ref="D80:D81"/>
    <mergeCell ref="E80:E81"/>
    <mergeCell ref="H80:H82"/>
    <mergeCell ref="B83:C83"/>
    <mergeCell ref="A85:A88"/>
    <mergeCell ref="A89:A93"/>
    <mergeCell ref="B91:B93"/>
    <mergeCell ref="C91:C93"/>
    <mergeCell ref="D91:D93"/>
    <mergeCell ref="E91:E93"/>
    <mergeCell ref="E100:E111"/>
    <mergeCell ref="H100:H111"/>
    <mergeCell ref="B113:C113"/>
    <mergeCell ref="B114:C114"/>
    <mergeCell ref="E117:E120"/>
    <mergeCell ref="H117:H120"/>
    <mergeCell ref="A94:A97"/>
    <mergeCell ref="B97:C97"/>
    <mergeCell ref="A98:A99"/>
    <mergeCell ref="B98:B99"/>
    <mergeCell ref="C98:C99"/>
    <mergeCell ref="D98:D99"/>
    <mergeCell ref="E98:E99"/>
    <mergeCell ref="H98:H99"/>
    <mergeCell ref="B115:C115"/>
    <mergeCell ref="B116:C116"/>
    <mergeCell ref="A117:A120"/>
    <mergeCell ref="B117:B120"/>
    <mergeCell ref="C117:C120"/>
    <mergeCell ref="D117:D120"/>
    <mergeCell ref="A100:A116"/>
    <mergeCell ref="B100:B111"/>
    <mergeCell ref="C100:C111"/>
    <mergeCell ref="D100:D111"/>
    <mergeCell ref="H144:H145"/>
    <mergeCell ref="A138:A143"/>
    <mergeCell ref="B140:B143"/>
    <mergeCell ref="C140:C143"/>
    <mergeCell ref="D140:D143"/>
    <mergeCell ref="E140:E143"/>
    <mergeCell ref="H140:H143"/>
    <mergeCell ref="I121:I122"/>
    <mergeCell ref="I123:I124"/>
    <mergeCell ref="I126:I131"/>
    <mergeCell ref="A132:A137"/>
    <mergeCell ref="B132:B137"/>
    <mergeCell ref="C132:C137"/>
    <mergeCell ref="D132:D137"/>
    <mergeCell ref="E132:E137"/>
    <mergeCell ref="H132:H137"/>
    <mergeCell ref="I132:I133"/>
    <mergeCell ref="A121:A131"/>
    <mergeCell ref="B121:B131"/>
    <mergeCell ref="C121:C131"/>
    <mergeCell ref="D121:D131"/>
    <mergeCell ref="E121:E131"/>
    <mergeCell ref="H121:H131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A154:C154"/>
    <mergeCell ref="D154:E154"/>
    <mergeCell ref="A155:C155"/>
    <mergeCell ref="D155:E155"/>
    <mergeCell ref="A156:D156"/>
    <mergeCell ref="C157:D157"/>
    <mergeCell ref="A144:A145"/>
    <mergeCell ref="B144:B145"/>
    <mergeCell ref="C144:C145"/>
    <mergeCell ref="D144:D145"/>
    <mergeCell ref="E144:E145"/>
  </mergeCells>
  <pageMargins left="0" right="0" top="0" bottom="0" header="0" footer="0"/>
  <pageSetup paperSize="9" scale="45" fitToWidth="0" orientation="portrait" r:id="rId1"/>
  <rowBreaks count="1" manualBreakCount="1">
    <brk id="13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R189"/>
  <sheetViews>
    <sheetView tabSelected="1" view="pageBreakPreview" topLeftCell="A166" zoomScale="70" zoomScaleNormal="85" zoomScaleSheetLayoutView="70" zoomScalePageLayoutView="40" workbookViewId="0">
      <selection activeCell="B173" sqref="B173"/>
    </sheetView>
  </sheetViews>
  <sheetFormatPr defaultRowHeight="15" x14ac:dyDescent="0.25"/>
  <cols>
    <col min="1" max="1" width="41.7109375" style="8" customWidth="1"/>
    <col min="2" max="2" width="2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5.140625" style="1" customWidth="1"/>
    <col min="7" max="7" width="14.42578125" style="1" customWidth="1"/>
    <col min="8" max="8" width="17.85546875" style="1" customWidth="1"/>
    <col min="9" max="9" width="16.140625" style="1" customWidth="1"/>
    <col min="10" max="10" width="14.28515625" style="140" customWidth="1"/>
    <col min="11" max="11" width="9.140625" style="7"/>
    <col min="12" max="12" width="13.7109375" style="7" hidden="1" customWidth="1"/>
    <col min="13" max="13" width="10.28515625" style="7" hidden="1" customWidth="1"/>
    <col min="14" max="16" width="0" style="7" hidden="1" customWidth="1"/>
    <col min="17" max="17" width="13" style="7" customWidth="1"/>
    <col min="18" max="16384" width="9.140625" style="7"/>
  </cols>
  <sheetData>
    <row r="1" spans="1:15" ht="28.5" customHeight="1" x14ac:dyDescent="0.25">
      <c r="A1" s="1"/>
      <c r="F1" s="3"/>
      <c r="G1" s="4"/>
      <c r="H1" s="5"/>
      <c r="I1" s="4"/>
      <c r="J1" s="4"/>
    </row>
    <row r="2" spans="1:15" ht="15.75" x14ac:dyDescent="0.25">
      <c r="A2" s="467" t="s">
        <v>0</v>
      </c>
      <c r="B2" s="467"/>
      <c r="C2" s="467"/>
      <c r="D2" s="467"/>
      <c r="E2" s="467"/>
      <c r="F2" s="467"/>
      <c r="G2" s="467"/>
      <c r="H2" s="467"/>
      <c r="I2" s="467"/>
      <c r="J2" s="467"/>
    </row>
    <row r="3" spans="1:15" ht="15.75" x14ac:dyDescent="0.25">
      <c r="A3" s="468" t="s">
        <v>1</v>
      </c>
      <c r="B3" s="468"/>
      <c r="C3" s="468"/>
      <c r="D3" s="468"/>
      <c r="E3" s="468"/>
      <c r="F3" s="468"/>
      <c r="G3" s="468"/>
      <c r="H3" s="468"/>
      <c r="I3" s="468"/>
      <c r="J3" s="468"/>
    </row>
    <row r="4" spans="1:15" ht="15.75" x14ac:dyDescent="0.25">
      <c r="A4" s="469" t="s">
        <v>223</v>
      </c>
      <c r="B4" s="469"/>
      <c r="C4" s="469"/>
      <c r="D4" s="469"/>
      <c r="E4" s="469"/>
      <c r="F4" s="469"/>
      <c r="G4" s="469"/>
      <c r="H4" s="469"/>
      <c r="I4" s="469"/>
      <c r="J4" s="469"/>
    </row>
    <row r="5" spans="1:15" ht="16.5" thickBot="1" x14ac:dyDescent="0.3">
      <c r="A5" s="203"/>
      <c r="B5" s="203"/>
      <c r="C5" s="203"/>
      <c r="D5" s="203"/>
      <c r="E5" s="203"/>
      <c r="F5" s="203"/>
      <c r="G5" s="203"/>
      <c r="H5" s="203"/>
      <c r="I5" s="203"/>
      <c r="J5" s="11"/>
    </row>
    <row r="6" spans="1:15" ht="15.75" x14ac:dyDescent="0.25">
      <c r="A6" s="470" t="s">
        <v>3</v>
      </c>
      <c r="B6" s="472" t="s">
        <v>4</v>
      </c>
      <c r="C6" s="473"/>
      <c r="D6" s="474" t="s">
        <v>5</v>
      </c>
      <c r="E6" s="474" t="s">
        <v>6</v>
      </c>
      <c r="F6" s="476" t="s">
        <v>7</v>
      </c>
      <c r="G6" s="477"/>
      <c r="H6" s="478" t="s">
        <v>8</v>
      </c>
      <c r="I6" s="480" t="s">
        <v>9</v>
      </c>
      <c r="J6" s="481"/>
      <c r="M6" s="237" t="s">
        <v>232</v>
      </c>
      <c r="N6" s="237" t="s">
        <v>233</v>
      </c>
      <c r="O6" s="237" t="s">
        <v>247</v>
      </c>
    </row>
    <row r="7" spans="1:15" ht="64.5" customHeight="1" thickBot="1" x14ac:dyDescent="0.3">
      <c r="A7" s="471"/>
      <c r="B7" s="12" t="s">
        <v>10</v>
      </c>
      <c r="C7" s="12" t="s">
        <v>11</v>
      </c>
      <c r="D7" s="475"/>
      <c r="E7" s="475"/>
      <c r="F7" s="13" t="s">
        <v>12</v>
      </c>
      <c r="G7" s="14" t="s">
        <v>13</v>
      </c>
      <c r="H7" s="479"/>
      <c r="I7" s="13" t="s">
        <v>12</v>
      </c>
      <c r="J7" s="15" t="s">
        <v>13</v>
      </c>
      <c r="M7" s="236">
        <f>J41+J81+J89+J110+J121+J137+J138+J139+J140+J141+J142+J27</f>
        <v>14946.357156600001</v>
      </c>
      <c r="N7" s="236">
        <f>J9+J42+J43+J44+J45+J52+J90+J59+J122</f>
        <v>24016.793003799998</v>
      </c>
      <c r="O7" s="236" t="e">
        <f>#REF!+J53+J91+J102+J103+J123+J128+J129+J130+J131</f>
        <v>#REF!</v>
      </c>
    </row>
    <row r="8" spans="1:15" ht="16.5" thickBot="1" x14ac:dyDescent="0.3">
      <c r="A8" s="493" t="s">
        <v>14</v>
      </c>
      <c r="B8" s="494"/>
      <c r="C8" s="494"/>
      <c r="D8" s="494"/>
      <c r="E8" s="494"/>
      <c r="F8" s="494"/>
      <c r="G8" s="494"/>
      <c r="H8" s="494"/>
      <c r="I8" s="494"/>
      <c r="J8" s="495"/>
    </row>
    <row r="9" spans="1:15" ht="35.25" customHeight="1" x14ac:dyDescent="0.25">
      <c r="A9" s="482" t="s">
        <v>230</v>
      </c>
      <c r="B9" s="484" t="s">
        <v>88</v>
      </c>
      <c r="C9" s="484" t="s">
        <v>231</v>
      </c>
      <c r="D9" s="487">
        <f>4452500/1000</f>
        <v>4452.5</v>
      </c>
      <c r="E9" s="487" t="str">
        <f>G9</f>
        <v>-</v>
      </c>
      <c r="F9" s="484"/>
      <c r="G9" s="484" t="s">
        <v>265</v>
      </c>
      <c r="H9" s="487">
        <f>J9</f>
        <v>1449.8873108</v>
      </c>
      <c r="I9" s="484" t="s">
        <v>253</v>
      </c>
      <c r="J9" s="491">
        <v>1449.8873108</v>
      </c>
    </row>
    <row r="10" spans="1:15" ht="25.5" customHeight="1" thickBot="1" x14ac:dyDescent="0.3">
      <c r="A10" s="483"/>
      <c r="B10" s="486"/>
      <c r="C10" s="486"/>
      <c r="D10" s="490"/>
      <c r="E10" s="490"/>
      <c r="F10" s="486"/>
      <c r="G10" s="486"/>
      <c r="H10" s="486"/>
      <c r="I10" s="486"/>
      <c r="J10" s="492"/>
    </row>
    <row r="11" spans="1:15" s="8" customFormat="1" ht="60.75" customHeight="1" x14ac:dyDescent="0.25">
      <c r="A11" s="482" t="s">
        <v>15</v>
      </c>
      <c r="B11" s="484" t="s">
        <v>16</v>
      </c>
      <c r="C11" s="484" t="s">
        <v>17</v>
      </c>
      <c r="D11" s="487">
        <f>17859290*1.18/1000</f>
        <v>21073.962199999998</v>
      </c>
      <c r="E11" s="487">
        <f>SUM(G11:G12)</f>
        <v>21073.962199999998</v>
      </c>
      <c r="F11" s="298" t="s">
        <v>18</v>
      </c>
      <c r="G11" s="299">
        <f>18035178.41/1000</f>
        <v>18035.17841</v>
      </c>
      <c r="H11" s="299">
        <f>SUM(J11:J11)</f>
        <v>0</v>
      </c>
      <c r="I11" s="298" t="s">
        <v>19</v>
      </c>
      <c r="J11" s="300" t="s">
        <v>19</v>
      </c>
      <c r="M11" s="190"/>
    </row>
    <row r="12" spans="1:15" s="8" customFormat="1" ht="43.5" thickBot="1" x14ac:dyDescent="0.3">
      <c r="A12" s="483"/>
      <c r="B12" s="486"/>
      <c r="C12" s="486"/>
      <c r="D12" s="490"/>
      <c r="E12" s="490"/>
      <c r="F12" s="301" t="s">
        <v>218</v>
      </c>
      <c r="G12" s="302">
        <v>3038.7837899999977</v>
      </c>
      <c r="H12" s="302">
        <f>SUM(J12:J12)</f>
        <v>0</v>
      </c>
      <c r="I12" s="301" t="s">
        <v>19</v>
      </c>
      <c r="J12" s="303" t="s">
        <v>19</v>
      </c>
      <c r="L12" s="188"/>
      <c r="M12" s="190"/>
    </row>
    <row r="13" spans="1:15" s="8" customFormat="1" ht="63" customHeight="1" thickBot="1" x14ac:dyDescent="0.3">
      <c r="A13" s="304" t="s">
        <v>20</v>
      </c>
      <c r="B13" s="305" t="s">
        <v>16</v>
      </c>
      <c r="C13" s="305" t="s">
        <v>21</v>
      </c>
      <c r="D13" s="306">
        <f>10176490*1.18/1000</f>
        <v>12008.258199999998</v>
      </c>
      <c r="E13" s="306">
        <f>SUM(G13:G13)</f>
        <v>12008.258199999998</v>
      </c>
      <c r="F13" s="307" t="s">
        <v>18</v>
      </c>
      <c r="G13" s="306">
        <f>12008258.2/1000</f>
        <v>12008.258199999998</v>
      </c>
      <c r="H13" s="306">
        <f>SUM(J13:J13)</f>
        <v>0</v>
      </c>
      <c r="I13" s="307" t="s">
        <v>19</v>
      </c>
      <c r="J13" s="308" t="s">
        <v>19</v>
      </c>
    </row>
    <row r="14" spans="1:15" s="8" customFormat="1" ht="62.25" customHeight="1" thickBot="1" x14ac:dyDescent="0.3">
      <c r="A14" s="309" t="s">
        <v>22</v>
      </c>
      <c r="B14" s="305" t="s">
        <v>16</v>
      </c>
      <c r="C14" s="305" t="s">
        <v>21</v>
      </c>
      <c r="D14" s="306">
        <f>14884895*1.18/1000</f>
        <v>17564.176099999997</v>
      </c>
      <c r="E14" s="306">
        <f>SUM(G14:G14)</f>
        <v>17564.176100000001</v>
      </c>
      <c r="F14" s="307" t="s">
        <v>18</v>
      </c>
      <c r="G14" s="306">
        <f>17564176.1/1000</f>
        <v>17564.176100000001</v>
      </c>
      <c r="H14" s="306">
        <f>SUM(J14:J14)</f>
        <v>0</v>
      </c>
      <c r="I14" s="307" t="s">
        <v>19</v>
      </c>
      <c r="J14" s="308" t="s">
        <v>19</v>
      </c>
    </row>
    <row r="15" spans="1:15" s="8" customFormat="1" ht="45" customHeight="1" x14ac:dyDescent="0.25">
      <c r="A15" s="497" t="s">
        <v>23</v>
      </c>
      <c r="B15" s="484" t="s">
        <v>24</v>
      </c>
      <c r="C15" s="484" t="s">
        <v>25</v>
      </c>
      <c r="D15" s="487">
        <f>1100000/1000</f>
        <v>1100</v>
      </c>
      <c r="E15" s="487">
        <f>SUM(G15:G17)</f>
        <v>1100</v>
      </c>
      <c r="F15" s="298" t="s">
        <v>273</v>
      </c>
      <c r="G15" s="299">
        <v>1100</v>
      </c>
      <c r="H15" s="487">
        <f>J15+J16+J17</f>
        <v>1099.9999883999999</v>
      </c>
      <c r="I15" s="298" t="s">
        <v>26</v>
      </c>
      <c r="J15" s="300">
        <f>351196.6268/1000</f>
        <v>351.19662680000005</v>
      </c>
      <c r="L15" s="8">
        <v>1100</v>
      </c>
    </row>
    <row r="16" spans="1:15" s="8" customFormat="1" ht="45" customHeight="1" x14ac:dyDescent="0.25">
      <c r="A16" s="500"/>
      <c r="B16" s="485"/>
      <c r="C16" s="485"/>
      <c r="D16" s="496"/>
      <c r="E16" s="496"/>
      <c r="F16" s="310" t="s">
        <v>265</v>
      </c>
      <c r="G16" s="311" t="s">
        <v>265</v>
      </c>
      <c r="H16" s="496"/>
      <c r="I16" s="310" t="s">
        <v>159</v>
      </c>
      <c r="J16" s="312">
        <v>299.52134699999993</v>
      </c>
      <c r="L16" s="275">
        <v>1152.7524076</v>
      </c>
    </row>
    <row r="17" spans="1:10" s="8" customFormat="1" ht="28.5" x14ac:dyDescent="0.25">
      <c r="A17" s="500"/>
      <c r="B17" s="485"/>
      <c r="C17" s="485"/>
      <c r="D17" s="496"/>
      <c r="E17" s="496"/>
      <c r="F17" s="310" t="s">
        <v>265</v>
      </c>
      <c r="G17" s="311" t="s">
        <v>265</v>
      </c>
      <c r="H17" s="496"/>
      <c r="I17" s="310" t="s">
        <v>175</v>
      </c>
      <c r="J17" s="312">
        <f>(380747.47/1000)*1.18</f>
        <v>449.28201459999991</v>
      </c>
    </row>
    <row r="18" spans="1:10" s="8" customFormat="1" ht="34.5" customHeight="1" x14ac:dyDescent="0.25">
      <c r="A18" s="500"/>
      <c r="B18" s="485" t="s">
        <v>27</v>
      </c>
      <c r="C18" s="485" t="s">
        <v>28</v>
      </c>
      <c r="D18" s="496">
        <v>2740.83</v>
      </c>
      <c r="E18" s="496">
        <f>SUM(G18:G21)</f>
        <v>2589.3861000000002</v>
      </c>
      <c r="F18" s="310" t="s">
        <v>29</v>
      </c>
      <c r="G18" s="311">
        <f>737212.08/1000</f>
        <v>737.21208000000001</v>
      </c>
      <c r="H18" s="496">
        <f>SUM(J18:J21)</f>
        <v>915.86171999999988</v>
      </c>
      <c r="I18" s="310" t="s">
        <v>30</v>
      </c>
      <c r="J18" s="312">
        <v>253.22681999999998</v>
      </c>
    </row>
    <row r="19" spans="1:10" s="8" customFormat="1" ht="34.5" customHeight="1" x14ac:dyDescent="0.25">
      <c r="A19" s="500"/>
      <c r="B19" s="485"/>
      <c r="C19" s="485"/>
      <c r="D19" s="496"/>
      <c r="E19" s="496"/>
      <c r="F19" s="310" t="s">
        <v>31</v>
      </c>
      <c r="G19" s="311">
        <f>936312.3/1000</f>
        <v>936.31230000000005</v>
      </c>
      <c r="H19" s="496"/>
      <c r="I19" s="310" t="s">
        <v>19</v>
      </c>
      <c r="J19" s="312" t="s">
        <v>19</v>
      </c>
    </row>
    <row r="20" spans="1:10" s="8" customFormat="1" ht="34.5" customHeight="1" x14ac:dyDescent="0.25">
      <c r="A20" s="500"/>
      <c r="B20" s="485"/>
      <c r="C20" s="485"/>
      <c r="D20" s="496"/>
      <c r="E20" s="496"/>
      <c r="F20" s="310" t="s">
        <v>32</v>
      </c>
      <c r="G20" s="311">
        <v>253.22682</v>
      </c>
      <c r="H20" s="496"/>
      <c r="I20" s="310" t="s">
        <v>19</v>
      </c>
      <c r="J20" s="312" t="s">
        <v>19</v>
      </c>
    </row>
    <row r="21" spans="1:10" s="8" customFormat="1" ht="34.5" customHeight="1" x14ac:dyDescent="0.25">
      <c r="A21" s="500"/>
      <c r="B21" s="485"/>
      <c r="C21" s="485"/>
      <c r="D21" s="496"/>
      <c r="E21" s="496"/>
      <c r="F21" s="310" t="s">
        <v>185</v>
      </c>
      <c r="G21" s="311">
        <f>662634.9/1000</f>
        <v>662.63490000000002</v>
      </c>
      <c r="H21" s="496"/>
      <c r="I21" s="310" t="s">
        <v>160</v>
      </c>
      <c r="J21" s="312">
        <v>662.6348999999999</v>
      </c>
    </row>
    <row r="22" spans="1:10" s="8" customFormat="1" ht="42" customHeight="1" x14ac:dyDescent="0.25">
      <c r="A22" s="500"/>
      <c r="B22" s="313" t="s">
        <v>33</v>
      </c>
      <c r="C22" s="313" t="s">
        <v>34</v>
      </c>
      <c r="D22" s="311">
        <f>1652600/1000</f>
        <v>1652.6</v>
      </c>
      <c r="E22" s="311">
        <f>G22</f>
        <v>1652.6</v>
      </c>
      <c r="F22" s="310" t="s">
        <v>35</v>
      </c>
      <c r="G22" s="311">
        <f>1652600/1000</f>
        <v>1652.6</v>
      </c>
      <c r="H22" s="311" t="str">
        <f>J22</f>
        <v>__</v>
      </c>
      <c r="I22" s="310" t="s">
        <v>19</v>
      </c>
      <c r="J22" s="312" t="s">
        <v>19</v>
      </c>
    </row>
    <row r="23" spans="1:10" s="8" customFormat="1" ht="42" customHeight="1" x14ac:dyDescent="0.25">
      <c r="A23" s="500"/>
      <c r="B23" s="313" t="s">
        <v>201</v>
      </c>
      <c r="C23" s="313" t="s">
        <v>202</v>
      </c>
      <c r="D23" s="311">
        <v>98</v>
      </c>
      <c r="E23" s="311">
        <f>G23</f>
        <v>98</v>
      </c>
      <c r="F23" s="310" t="s">
        <v>210</v>
      </c>
      <c r="G23" s="311">
        <v>98</v>
      </c>
      <c r="H23" s="311">
        <f>J23</f>
        <v>98.000002999999992</v>
      </c>
      <c r="I23" s="310" t="s">
        <v>213</v>
      </c>
      <c r="J23" s="312">
        <v>98.000002999999992</v>
      </c>
    </row>
    <row r="24" spans="1:10" s="8" customFormat="1" ht="38.25" customHeight="1" x14ac:dyDescent="0.25">
      <c r="A24" s="500"/>
      <c r="B24" s="485" t="s">
        <v>36</v>
      </c>
      <c r="C24" s="485"/>
      <c r="D24" s="311" t="s">
        <v>19</v>
      </c>
      <c r="E24" s="311" t="str">
        <f t="shared" ref="E24:E25" si="0">G24</f>
        <v>__</v>
      </c>
      <c r="F24" s="310" t="s">
        <v>19</v>
      </c>
      <c r="G24" s="311" t="s">
        <v>19</v>
      </c>
      <c r="H24" s="311">
        <f>J24</f>
        <v>66.934614999999994</v>
      </c>
      <c r="I24" s="310" t="s">
        <v>19</v>
      </c>
      <c r="J24" s="312">
        <v>66.934614999999994</v>
      </c>
    </row>
    <row r="25" spans="1:10" s="8" customFormat="1" ht="38.25" customHeight="1" thickBot="1" x14ac:dyDescent="0.3">
      <c r="A25" s="530"/>
      <c r="B25" s="314" t="s">
        <v>243</v>
      </c>
      <c r="C25" s="314" t="s">
        <v>244</v>
      </c>
      <c r="D25" s="302"/>
      <c r="E25" s="302">
        <f t="shared" si="0"/>
        <v>1152.7524076</v>
      </c>
      <c r="F25" s="301" t="s">
        <v>313</v>
      </c>
      <c r="G25" s="302">
        <v>1152.7524076</v>
      </c>
      <c r="H25" s="302"/>
      <c r="I25" s="301"/>
      <c r="J25" s="303"/>
    </row>
    <row r="26" spans="1:10" s="8" customFormat="1" ht="57.75" thickBot="1" x14ac:dyDescent="0.3">
      <c r="A26" s="315" t="s">
        <v>167</v>
      </c>
      <c r="B26" s="305" t="s">
        <v>168</v>
      </c>
      <c r="C26" s="305"/>
      <c r="D26" s="306">
        <f>70000/1000</f>
        <v>70</v>
      </c>
      <c r="E26" s="306">
        <f>G26</f>
        <v>70</v>
      </c>
      <c r="F26" s="307" t="s">
        <v>211</v>
      </c>
      <c r="G26" s="306">
        <v>70</v>
      </c>
      <c r="H26" s="306">
        <f>J26</f>
        <v>70</v>
      </c>
      <c r="I26" s="307" t="s">
        <v>178</v>
      </c>
      <c r="J26" s="308">
        <f>70000/1000</f>
        <v>70</v>
      </c>
    </row>
    <row r="27" spans="1:10" s="8" customFormat="1" ht="72" thickBot="1" x14ac:dyDescent="0.3">
      <c r="A27" s="315" t="s">
        <v>219</v>
      </c>
      <c r="B27" s="305" t="s">
        <v>220</v>
      </c>
      <c r="C27" s="305" t="s">
        <v>222</v>
      </c>
      <c r="D27" s="306">
        <f>768312/1000</f>
        <v>768.31200000000001</v>
      </c>
      <c r="E27" s="306">
        <f>G27</f>
        <v>768.31200000000001</v>
      </c>
      <c r="F27" s="307" t="s">
        <v>274</v>
      </c>
      <c r="G27" s="306">
        <v>768.31200000000001</v>
      </c>
      <c r="H27" s="306">
        <f>J27</f>
        <v>768.31199479999998</v>
      </c>
      <c r="I27" s="307" t="s">
        <v>272</v>
      </c>
      <c r="J27" s="308">
        <v>768.31199479999998</v>
      </c>
    </row>
    <row r="28" spans="1:10" s="8" customFormat="1" ht="15.75" thickBot="1" x14ac:dyDescent="0.3">
      <c r="A28" s="316" t="s">
        <v>37</v>
      </c>
      <c r="B28" s="317"/>
      <c r="C28" s="317"/>
      <c r="D28" s="317"/>
      <c r="E28" s="318">
        <f>SUM(E9:E27)</f>
        <v>58077.4470076</v>
      </c>
      <c r="F28" s="319"/>
      <c r="G28" s="318">
        <f>SUM(G9:G27)</f>
        <v>58077.447007599993</v>
      </c>
      <c r="H28" s="318">
        <f>SUM(H9:H27)</f>
        <v>4468.9956320000001</v>
      </c>
      <c r="I28" s="318"/>
      <c r="J28" s="320">
        <f>SUM(J9:J27)</f>
        <v>4468.9956320000001</v>
      </c>
    </row>
    <row r="29" spans="1:10" s="8" customFormat="1" ht="39" customHeight="1" thickBot="1" x14ac:dyDescent="0.3">
      <c r="A29" s="321" t="s">
        <v>38</v>
      </c>
      <c r="B29" s="322"/>
      <c r="C29" s="322"/>
      <c r="D29" s="322"/>
      <c r="E29" s="323">
        <f>G29</f>
        <v>1240.7417150655556</v>
      </c>
      <c r="F29" s="306"/>
      <c r="G29" s="323">
        <f>J29</f>
        <v>1240.7417150655556</v>
      </c>
      <c r="H29" s="323">
        <f>J29</f>
        <v>1240.7417150655556</v>
      </c>
      <c r="I29" s="306"/>
      <c r="J29" s="324">
        <v>1240.7417150655556</v>
      </c>
    </row>
    <row r="30" spans="1:10" s="8" customFormat="1" ht="30.75" thickBot="1" x14ac:dyDescent="0.3">
      <c r="A30" s="321" t="s">
        <v>39</v>
      </c>
      <c r="B30" s="322"/>
      <c r="C30" s="322"/>
      <c r="D30" s="322"/>
      <c r="E30" s="323">
        <f>E28+E29</f>
        <v>59318.188722665553</v>
      </c>
      <c r="F30" s="306"/>
      <c r="G30" s="323">
        <f>G28+G29</f>
        <v>59318.188722665545</v>
      </c>
      <c r="H30" s="323">
        <f>H28+H29</f>
        <v>5709.7373470655557</v>
      </c>
      <c r="I30" s="306"/>
      <c r="J30" s="324">
        <f>J28+J29</f>
        <v>5709.7373470655557</v>
      </c>
    </row>
    <row r="31" spans="1:10" s="8" customFormat="1" ht="16.5" customHeight="1" thickBot="1" x14ac:dyDescent="0.3">
      <c r="A31" s="531" t="s">
        <v>40</v>
      </c>
      <c r="B31" s="532"/>
      <c r="C31" s="532"/>
      <c r="D31" s="532"/>
      <c r="E31" s="532"/>
      <c r="F31" s="532"/>
      <c r="G31" s="532"/>
      <c r="H31" s="532"/>
      <c r="I31" s="532"/>
      <c r="J31" s="533"/>
    </row>
    <row r="32" spans="1:10" s="8" customFormat="1" ht="42.75" customHeight="1" x14ac:dyDescent="0.25">
      <c r="A32" s="482" t="s">
        <v>41</v>
      </c>
      <c r="B32" s="484" t="s">
        <v>42</v>
      </c>
      <c r="C32" s="484" t="s">
        <v>43</v>
      </c>
      <c r="D32" s="484">
        <v>82000</v>
      </c>
      <c r="E32" s="487">
        <f>SUM(G32:G46)</f>
        <v>14143.216418600001</v>
      </c>
      <c r="F32" s="339" t="s">
        <v>44</v>
      </c>
      <c r="G32" s="299">
        <v>130.99584999999999</v>
      </c>
      <c r="H32" s="487">
        <f>SUM(J32:J46)</f>
        <v>32831.120364800001</v>
      </c>
      <c r="I32" s="339" t="s">
        <v>45</v>
      </c>
      <c r="J32" s="300">
        <f>130995.8474/1000</f>
        <v>130.9958474</v>
      </c>
    </row>
    <row r="33" spans="1:13" s="8" customFormat="1" ht="42.75" x14ac:dyDescent="0.25">
      <c r="A33" s="489"/>
      <c r="B33" s="485"/>
      <c r="C33" s="485"/>
      <c r="D33" s="485"/>
      <c r="E33" s="485"/>
      <c r="F33" s="325" t="s">
        <v>46</v>
      </c>
      <c r="G33" s="311">
        <v>651.55920000000003</v>
      </c>
      <c r="H33" s="496"/>
      <c r="I33" s="325" t="s">
        <v>47</v>
      </c>
      <c r="J33" s="312">
        <f>30576.14*1.18/1000</f>
        <v>36.079845199999994</v>
      </c>
    </row>
    <row r="34" spans="1:13" s="8" customFormat="1" ht="42.75" x14ac:dyDescent="0.25">
      <c r="A34" s="489"/>
      <c r="B34" s="485"/>
      <c r="C34" s="485"/>
      <c r="D34" s="485"/>
      <c r="E34" s="485"/>
      <c r="F34" s="325" t="s">
        <v>48</v>
      </c>
      <c r="G34" s="311">
        <v>36.07985</v>
      </c>
      <c r="H34" s="496"/>
      <c r="I34" s="325" t="s">
        <v>49</v>
      </c>
      <c r="J34" s="312">
        <f>552168.81*1.18/1000</f>
        <v>651.5591958</v>
      </c>
    </row>
    <row r="35" spans="1:13" s="8" customFormat="1" ht="42.75" x14ac:dyDescent="0.25">
      <c r="A35" s="489"/>
      <c r="B35" s="485"/>
      <c r="C35" s="485"/>
      <c r="D35" s="485"/>
      <c r="E35" s="485"/>
      <c r="F35" s="325" t="s">
        <v>19</v>
      </c>
      <c r="G35" s="311" t="s">
        <v>19</v>
      </c>
      <c r="H35" s="496"/>
      <c r="I35" s="325" t="s">
        <v>50</v>
      </c>
      <c r="J35" s="312">
        <v>505.16762879999999</v>
      </c>
    </row>
    <row r="36" spans="1:13" s="8" customFormat="1" ht="42.75" x14ac:dyDescent="0.25">
      <c r="A36" s="489"/>
      <c r="B36" s="485"/>
      <c r="C36" s="485"/>
      <c r="D36" s="485"/>
      <c r="E36" s="485"/>
      <c r="F36" s="325" t="s">
        <v>19</v>
      </c>
      <c r="G36" s="311" t="s">
        <v>19</v>
      </c>
      <c r="H36" s="496"/>
      <c r="I36" s="325" t="s">
        <v>51</v>
      </c>
      <c r="J36" s="312">
        <v>1041.8767402000001</v>
      </c>
    </row>
    <row r="37" spans="1:13" s="8" customFormat="1" ht="42.75" x14ac:dyDescent="0.25">
      <c r="A37" s="489"/>
      <c r="B37" s="485"/>
      <c r="C37" s="485"/>
      <c r="D37" s="485"/>
      <c r="E37" s="485"/>
      <c r="F37" s="325" t="s">
        <v>183</v>
      </c>
      <c r="G37" s="311">
        <f>505167.63/1000</f>
        <v>505.16763000000003</v>
      </c>
      <c r="H37" s="496"/>
      <c r="I37" s="325" t="s">
        <v>158</v>
      </c>
      <c r="J37" s="312">
        <v>3587.7674383999997</v>
      </c>
    </row>
    <row r="38" spans="1:13" s="8" customFormat="1" ht="42.75" x14ac:dyDescent="0.25">
      <c r="A38" s="489"/>
      <c r="B38" s="485"/>
      <c r="C38" s="485"/>
      <c r="D38" s="485"/>
      <c r="E38" s="485"/>
      <c r="F38" s="325" t="s">
        <v>184</v>
      </c>
      <c r="G38" s="311">
        <f>1041876.74/1000</f>
        <v>1041.8767399999999</v>
      </c>
      <c r="H38" s="496"/>
      <c r="I38" s="325" t="s">
        <v>157</v>
      </c>
      <c r="J38" s="312">
        <v>676.7155095999999</v>
      </c>
    </row>
    <row r="39" spans="1:13" s="8" customFormat="1" ht="42.75" x14ac:dyDescent="0.25">
      <c r="A39" s="489"/>
      <c r="B39" s="485"/>
      <c r="C39" s="485"/>
      <c r="D39" s="485"/>
      <c r="E39" s="485"/>
      <c r="F39" s="325" t="s">
        <v>188</v>
      </c>
      <c r="G39" s="311">
        <f>3587767.44/1000</f>
        <v>3587.7674400000001</v>
      </c>
      <c r="H39" s="496"/>
      <c r="I39" s="325" t="s">
        <v>177</v>
      </c>
      <c r="J39" s="312">
        <v>1793.9132191999997</v>
      </c>
    </row>
    <row r="40" spans="1:13" s="8" customFormat="1" ht="42.75" x14ac:dyDescent="0.25">
      <c r="A40" s="489"/>
      <c r="B40" s="485"/>
      <c r="C40" s="485"/>
      <c r="D40" s="485"/>
      <c r="E40" s="485"/>
      <c r="F40" s="325" t="s">
        <v>187</v>
      </c>
      <c r="G40" s="311">
        <f>676715.51/1000</f>
        <v>676.71550999999999</v>
      </c>
      <c r="H40" s="496"/>
      <c r="I40" s="325" t="s">
        <v>215</v>
      </c>
      <c r="J40" s="312">
        <v>2883.876045</v>
      </c>
    </row>
    <row r="41" spans="1:13" s="8" customFormat="1" ht="42.75" x14ac:dyDescent="0.25">
      <c r="A41" s="489"/>
      <c r="B41" s="485"/>
      <c r="C41" s="485"/>
      <c r="D41" s="485"/>
      <c r="E41" s="485"/>
      <c r="F41" s="325" t="s">
        <v>207</v>
      </c>
      <c r="G41" s="311">
        <v>1793.9132199999999</v>
      </c>
      <c r="H41" s="496"/>
      <c r="I41" s="325" t="s">
        <v>252</v>
      </c>
      <c r="J41" s="312">
        <v>2620.1652435999995</v>
      </c>
      <c r="L41" s="188">
        <f>L42+L43+L44</f>
        <v>5906.819054999999</v>
      </c>
      <c r="M41" s="190"/>
    </row>
    <row r="42" spans="1:13" s="8" customFormat="1" ht="42.75" customHeight="1" x14ac:dyDescent="0.25">
      <c r="A42" s="489"/>
      <c r="B42" s="485"/>
      <c r="C42" s="485"/>
      <c r="D42" s="485"/>
      <c r="E42" s="485"/>
      <c r="F42" s="325" t="s">
        <v>208</v>
      </c>
      <c r="G42" s="311">
        <v>156.38051000000002</v>
      </c>
      <c r="H42" s="496"/>
      <c r="I42" s="325" t="s">
        <v>254</v>
      </c>
      <c r="J42" s="312">
        <v>13052.014514999999</v>
      </c>
      <c r="K42" s="8">
        <v>7</v>
      </c>
      <c r="L42" s="276">
        <f>G44+G56+G76</f>
        <v>3098.1807414</v>
      </c>
    </row>
    <row r="43" spans="1:13" s="8" customFormat="1" ht="42.75" x14ac:dyDescent="0.25">
      <c r="A43" s="489"/>
      <c r="B43" s="485"/>
      <c r="C43" s="485"/>
      <c r="D43" s="485"/>
      <c r="E43" s="485"/>
      <c r="F43" s="325" t="s">
        <v>209</v>
      </c>
      <c r="G43" s="311">
        <v>24.634679999999999</v>
      </c>
      <c r="H43" s="496"/>
      <c r="I43" s="325" t="s">
        <v>260</v>
      </c>
      <c r="J43" s="312">
        <v>1395.4322106</v>
      </c>
      <c r="K43" s="8">
        <v>8</v>
      </c>
      <c r="L43" s="276">
        <f>G45+G46+G57+G74+G77</f>
        <v>2696.0947935999993</v>
      </c>
    </row>
    <row r="44" spans="1:13" s="8" customFormat="1" ht="42.75" x14ac:dyDescent="0.25">
      <c r="A44" s="489"/>
      <c r="B44" s="485"/>
      <c r="C44" s="485"/>
      <c r="D44" s="485"/>
      <c r="E44" s="485"/>
      <c r="F44" s="325" t="s">
        <v>275</v>
      </c>
      <c r="G44" s="311">
        <v>2883.876045</v>
      </c>
      <c r="H44" s="496"/>
      <c r="I44" s="325" t="s">
        <v>256</v>
      </c>
      <c r="J44" s="312">
        <v>455.98365940000002</v>
      </c>
      <c r="K44" s="8">
        <v>9</v>
      </c>
      <c r="L44" s="276">
        <f>G78</f>
        <v>112.54352</v>
      </c>
    </row>
    <row r="45" spans="1:13" s="8" customFormat="1" ht="42.75" x14ac:dyDescent="0.25">
      <c r="A45" s="489"/>
      <c r="B45" s="485"/>
      <c r="C45" s="485"/>
      <c r="D45" s="485"/>
      <c r="E45" s="485"/>
      <c r="F45" s="325" t="s">
        <v>277</v>
      </c>
      <c r="G45" s="311">
        <v>2620.1652435999995</v>
      </c>
      <c r="H45" s="496"/>
      <c r="I45" s="325" t="s">
        <v>259</v>
      </c>
      <c r="J45" s="312">
        <v>34.634238999999994</v>
      </c>
    </row>
    <row r="46" spans="1:13" s="8" customFormat="1" ht="42.75" x14ac:dyDescent="0.25">
      <c r="A46" s="489"/>
      <c r="B46" s="485"/>
      <c r="C46" s="485"/>
      <c r="D46" s="485"/>
      <c r="E46" s="485"/>
      <c r="F46" s="325" t="s">
        <v>278</v>
      </c>
      <c r="G46" s="311">
        <v>34.084499999999998</v>
      </c>
      <c r="H46" s="496"/>
      <c r="I46" s="325" t="s">
        <v>311</v>
      </c>
      <c r="J46" s="312">
        <v>3964.9390275999995</v>
      </c>
    </row>
    <row r="47" spans="1:13" s="8" customFormat="1" ht="15.75" thickBot="1" x14ac:dyDescent="0.3">
      <c r="A47" s="483"/>
      <c r="B47" s="486" t="s">
        <v>266</v>
      </c>
      <c r="C47" s="486"/>
      <c r="D47" s="302"/>
      <c r="E47" s="302"/>
      <c r="F47" s="352"/>
      <c r="G47" s="302"/>
      <c r="H47" s="302">
        <f>J47</f>
        <v>3482.1039372</v>
      </c>
      <c r="I47" s="352"/>
      <c r="J47" s="303">
        <v>3482.1039372</v>
      </c>
    </row>
    <row r="48" spans="1:13" s="8" customFormat="1" ht="15.75" thickBot="1" x14ac:dyDescent="0.3">
      <c r="A48" s="381"/>
      <c r="B48" s="381"/>
      <c r="C48" s="381"/>
      <c r="D48" s="382"/>
      <c r="E48" s="382"/>
      <c r="F48" s="362"/>
      <c r="G48" s="382"/>
      <c r="H48" s="382"/>
      <c r="I48" s="362"/>
      <c r="J48" s="382"/>
    </row>
    <row r="49" spans="1:10" s="8" customFormat="1" ht="71.25" customHeight="1" x14ac:dyDescent="0.25">
      <c r="A49" s="574" t="s">
        <v>41</v>
      </c>
      <c r="B49" s="524" t="s">
        <v>42</v>
      </c>
      <c r="C49" s="524" t="s">
        <v>52</v>
      </c>
      <c r="D49" s="524">
        <f>7700000/1000</f>
        <v>7700</v>
      </c>
      <c r="E49" s="524">
        <f>SUM(G49:G56)</f>
        <v>2127.5577564</v>
      </c>
      <c r="F49" s="339" t="s">
        <v>53</v>
      </c>
      <c r="G49" s="299">
        <f>513728.95/1000</f>
        <v>513.72895000000005</v>
      </c>
      <c r="H49" s="524">
        <f>SUM(J49:J55)</f>
        <v>2627.3949148000002</v>
      </c>
      <c r="I49" s="339" t="s">
        <v>54</v>
      </c>
      <c r="J49" s="300">
        <f>4024.8148/1000</f>
        <v>4.0248147999999997</v>
      </c>
    </row>
    <row r="50" spans="1:10" s="8" customFormat="1" ht="42.75" x14ac:dyDescent="0.25">
      <c r="A50" s="517"/>
      <c r="B50" s="488"/>
      <c r="C50" s="488"/>
      <c r="D50" s="488"/>
      <c r="E50" s="488"/>
      <c r="F50" s="325" t="s">
        <v>55</v>
      </c>
      <c r="G50" s="311">
        <f>100040.74/1000</f>
        <v>100.04074</v>
      </c>
      <c r="H50" s="488"/>
      <c r="I50" s="325" t="s">
        <v>163</v>
      </c>
      <c r="J50" s="312">
        <v>341.8673344</v>
      </c>
    </row>
    <row r="51" spans="1:10" s="8" customFormat="1" ht="42.75" x14ac:dyDescent="0.25">
      <c r="A51" s="517"/>
      <c r="B51" s="488"/>
      <c r="C51" s="488"/>
      <c r="D51" s="488"/>
      <c r="E51" s="488"/>
      <c r="F51" s="325" t="s">
        <v>56</v>
      </c>
      <c r="G51" s="311">
        <f>73031.03/1000</f>
        <v>73.031030000000001</v>
      </c>
      <c r="H51" s="488"/>
      <c r="I51" s="325" t="s">
        <v>176</v>
      </c>
      <c r="J51" s="312">
        <f>(128971.48/1000)*1.18</f>
        <v>152.18634639999996</v>
      </c>
    </row>
    <row r="52" spans="1:10" s="8" customFormat="1" ht="42.75" x14ac:dyDescent="0.25">
      <c r="A52" s="517"/>
      <c r="B52" s="488"/>
      <c r="C52" s="488"/>
      <c r="D52" s="488"/>
      <c r="E52" s="488"/>
      <c r="F52" s="325" t="s">
        <v>57</v>
      </c>
      <c r="G52" s="311">
        <f>122959.86/1000</f>
        <v>122.95986000000001</v>
      </c>
      <c r="H52" s="488"/>
      <c r="I52" s="325" t="s">
        <v>255</v>
      </c>
      <c r="J52" s="326">
        <v>1717.2884796000001</v>
      </c>
    </row>
    <row r="53" spans="1:10" s="8" customFormat="1" ht="42.75" x14ac:dyDescent="0.25">
      <c r="A53" s="517"/>
      <c r="B53" s="488"/>
      <c r="C53" s="488"/>
      <c r="D53" s="488"/>
      <c r="E53" s="488"/>
      <c r="F53" s="325" t="s">
        <v>58</v>
      </c>
      <c r="G53" s="311">
        <f>819718.69/1000</f>
        <v>819.71868999999992</v>
      </c>
      <c r="H53" s="488"/>
      <c r="I53" s="325" t="s">
        <v>304</v>
      </c>
      <c r="J53" s="326">
        <v>412.02793959999991</v>
      </c>
    </row>
    <row r="54" spans="1:10" s="8" customFormat="1" ht="28.5" x14ac:dyDescent="0.25">
      <c r="A54" s="517"/>
      <c r="B54" s="488"/>
      <c r="C54" s="488"/>
      <c r="D54" s="488"/>
      <c r="E54" s="488"/>
      <c r="F54" s="325" t="s">
        <v>59</v>
      </c>
      <c r="G54" s="311">
        <v>4.0248100000000004</v>
      </c>
      <c r="H54" s="488"/>
      <c r="I54" s="325" t="s">
        <v>19</v>
      </c>
      <c r="J54" s="326" t="s">
        <v>19</v>
      </c>
    </row>
    <row r="55" spans="1:10" s="8" customFormat="1" ht="28.5" x14ac:dyDescent="0.25">
      <c r="A55" s="517"/>
      <c r="B55" s="488"/>
      <c r="C55" s="488"/>
      <c r="D55" s="488"/>
      <c r="E55" s="488"/>
      <c r="F55" s="325" t="s">
        <v>186</v>
      </c>
      <c r="G55" s="311">
        <f>341867.33/1000</f>
        <v>341.86733000000004</v>
      </c>
      <c r="H55" s="488"/>
      <c r="I55" s="325" t="s">
        <v>19</v>
      </c>
      <c r="J55" s="326" t="s">
        <v>19</v>
      </c>
    </row>
    <row r="56" spans="1:10" s="8" customFormat="1" ht="28.5" x14ac:dyDescent="0.25">
      <c r="A56" s="517"/>
      <c r="B56" s="488"/>
      <c r="C56" s="488"/>
      <c r="D56" s="488"/>
      <c r="E56" s="488"/>
      <c r="F56" s="325" t="s">
        <v>276</v>
      </c>
      <c r="G56" s="311">
        <v>152.18634639999996</v>
      </c>
      <c r="H56" s="488"/>
      <c r="I56" s="325"/>
      <c r="J56" s="326"/>
    </row>
    <row r="57" spans="1:10" s="8" customFormat="1" ht="20.25" customHeight="1" x14ac:dyDescent="0.25">
      <c r="A57" s="517"/>
      <c r="B57" s="488" t="s">
        <v>267</v>
      </c>
      <c r="C57" s="488"/>
      <c r="D57" s="311"/>
      <c r="E57" s="311"/>
      <c r="F57" s="325"/>
      <c r="G57" s="311"/>
      <c r="H57" s="311">
        <f>J57</f>
        <v>7137.4930101999998</v>
      </c>
      <c r="I57" s="325"/>
      <c r="J57" s="326">
        <v>7137.4930101999998</v>
      </c>
    </row>
    <row r="58" spans="1:10" s="8" customFormat="1" ht="25.5" customHeight="1" x14ac:dyDescent="0.25">
      <c r="A58" s="517"/>
      <c r="B58" s="488" t="s">
        <v>266</v>
      </c>
      <c r="C58" s="488"/>
      <c r="D58" s="311"/>
      <c r="E58" s="311"/>
      <c r="F58" s="325"/>
      <c r="G58" s="311"/>
      <c r="H58" s="311">
        <f>J58</f>
        <v>5919.9195682</v>
      </c>
      <c r="I58" s="325"/>
      <c r="J58" s="326">
        <v>5919.9195682</v>
      </c>
    </row>
    <row r="59" spans="1:10" s="8" customFormat="1" ht="57" x14ac:dyDescent="0.25">
      <c r="A59" s="517"/>
      <c r="B59" s="488" t="s">
        <v>60</v>
      </c>
      <c r="C59" s="488" t="s">
        <v>236</v>
      </c>
      <c r="D59" s="496">
        <f>143412108/1000</f>
        <v>143412.10800000001</v>
      </c>
      <c r="E59" s="496">
        <f>SUM(G59:G73)</f>
        <v>57243.230510000001</v>
      </c>
      <c r="F59" s="325" t="s">
        <v>62</v>
      </c>
      <c r="G59" s="311">
        <f>16086573.81/1000</f>
        <v>16086.57381</v>
      </c>
      <c r="H59" s="496">
        <f>SUM(J59:J73)</f>
        <v>1482.5121749999998</v>
      </c>
      <c r="I59" s="325" t="s">
        <v>269</v>
      </c>
      <c r="J59" s="312">
        <v>1482.5121749999998</v>
      </c>
    </row>
    <row r="60" spans="1:10" s="8" customFormat="1" ht="42.75" x14ac:dyDescent="0.25">
      <c r="A60" s="517"/>
      <c r="B60" s="488"/>
      <c r="C60" s="488"/>
      <c r="D60" s="496"/>
      <c r="E60" s="496"/>
      <c r="F60" s="325" t="s">
        <v>63</v>
      </c>
      <c r="G60" s="311">
        <f>292539.95/1000</f>
        <v>292.53995000000003</v>
      </c>
      <c r="H60" s="496"/>
      <c r="I60" s="325" t="s">
        <v>19</v>
      </c>
      <c r="J60" s="326" t="s">
        <v>19</v>
      </c>
    </row>
    <row r="61" spans="1:10" s="8" customFormat="1" ht="28.5" x14ac:dyDescent="0.25">
      <c r="A61" s="517"/>
      <c r="B61" s="488"/>
      <c r="C61" s="488"/>
      <c r="D61" s="496"/>
      <c r="E61" s="496"/>
      <c r="F61" s="325" t="s">
        <v>64</v>
      </c>
      <c r="G61" s="311">
        <v>636.48311999999999</v>
      </c>
      <c r="H61" s="496"/>
      <c r="I61" s="325" t="s">
        <v>19</v>
      </c>
      <c r="J61" s="326" t="s">
        <v>19</v>
      </c>
    </row>
    <row r="62" spans="1:10" s="8" customFormat="1" x14ac:dyDescent="0.25">
      <c r="A62" s="517"/>
      <c r="B62" s="488"/>
      <c r="C62" s="488"/>
      <c r="D62" s="496"/>
      <c r="E62" s="496"/>
      <c r="F62" s="488" t="s">
        <v>65</v>
      </c>
      <c r="G62" s="311">
        <v>1196.35187</v>
      </c>
      <c r="H62" s="496"/>
      <c r="I62" s="325" t="s">
        <v>19</v>
      </c>
      <c r="J62" s="326" t="s">
        <v>19</v>
      </c>
    </row>
    <row r="63" spans="1:10" s="8" customFormat="1" x14ac:dyDescent="0.25">
      <c r="A63" s="517"/>
      <c r="B63" s="488"/>
      <c r="C63" s="488"/>
      <c r="D63" s="496"/>
      <c r="E63" s="496"/>
      <c r="F63" s="488"/>
      <c r="G63" s="311">
        <v>622.94609000000003</v>
      </c>
      <c r="H63" s="496"/>
      <c r="I63" s="325" t="s">
        <v>19</v>
      </c>
      <c r="J63" s="326" t="s">
        <v>19</v>
      </c>
    </row>
    <row r="64" spans="1:10" s="8" customFormat="1" ht="28.5" x14ac:dyDescent="0.25">
      <c r="A64" s="517"/>
      <c r="B64" s="488"/>
      <c r="C64" s="488" t="s">
        <v>237</v>
      </c>
      <c r="D64" s="496">
        <f>143769977.9/1000</f>
        <v>143769.9779</v>
      </c>
      <c r="E64" s="496"/>
      <c r="F64" s="325" t="s">
        <v>66</v>
      </c>
      <c r="G64" s="311">
        <v>2955.7913199999998</v>
      </c>
      <c r="H64" s="496"/>
      <c r="I64" s="325" t="s">
        <v>19</v>
      </c>
      <c r="J64" s="326" t="s">
        <v>19</v>
      </c>
    </row>
    <row r="65" spans="1:13" s="8" customFormat="1" ht="28.5" x14ac:dyDescent="0.25">
      <c r="A65" s="517"/>
      <c r="B65" s="488"/>
      <c r="C65" s="488"/>
      <c r="D65" s="496"/>
      <c r="E65" s="496"/>
      <c r="F65" s="325" t="s">
        <v>67</v>
      </c>
      <c r="G65" s="311">
        <v>3937.3973700000001</v>
      </c>
      <c r="H65" s="496"/>
      <c r="I65" s="325" t="s">
        <v>19</v>
      </c>
      <c r="J65" s="326" t="s">
        <v>19</v>
      </c>
    </row>
    <row r="66" spans="1:13" s="8" customFormat="1" ht="28.5" x14ac:dyDescent="0.25">
      <c r="A66" s="517"/>
      <c r="B66" s="488"/>
      <c r="C66" s="488"/>
      <c r="D66" s="496"/>
      <c r="E66" s="496"/>
      <c r="F66" s="325" t="s">
        <v>68</v>
      </c>
      <c r="G66" s="311">
        <v>7794.63627</v>
      </c>
      <c r="H66" s="496"/>
      <c r="I66" s="325" t="s">
        <v>19</v>
      </c>
      <c r="J66" s="326" t="s">
        <v>19</v>
      </c>
    </row>
    <row r="67" spans="1:13" s="8" customFormat="1" ht="28.5" x14ac:dyDescent="0.25">
      <c r="A67" s="517"/>
      <c r="B67" s="488"/>
      <c r="C67" s="488"/>
      <c r="D67" s="496"/>
      <c r="E67" s="496"/>
      <c r="F67" s="325" t="s">
        <v>69</v>
      </c>
      <c r="G67" s="311">
        <v>8396.4669300000005</v>
      </c>
      <c r="H67" s="496"/>
      <c r="I67" s="325" t="s">
        <v>19</v>
      </c>
      <c r="J67" s="326" t="s">
        <v>19</v>
      </c>
    </row>
    <row r="68" spans="1:13" s="8" customFormat="1" ht="28.5" x14ac:dyDescent="0.25">
      <c r="A68" s="517"/>
      <c r="B68" s="488"/>
      <c r="C68" s="488"/>
      <c r="D68" s="496"/>
      <c r="E68" s="496"/>
      <c r="F68" s="325" t="s">
        <v>190</v>
      </c>
      <c r="G68" s="311">
        <v>5037.8801599999997</v>
      </c>
      <c r="H68" s="496"/>
      <c r="I68" s="325" t="s">
        <v>19</v>
      </c>
      <c r="J68" s="326" t="s">
        <v>19</v>
      </c>
    </row>
    <row r="69" spans="1:13" s="8" customFormat="1" ht="28.5" x14ac:dyDescent="0.25">
      <c r="A69" s="517"/>
      <c r="B69" s="488"/>
      <c r="C69" s="488"/>
      <c r="D69" s="496"/>
      <c r="E69" s="496"/>
      <c r="F69" s="325" t="s">
        <v>191</v>
      </c>
      <c r="G69" s="311">
        <v>4676.7817599999998</v>
      </c>
      <c r="H69" s="496"/>
      <c r="I69" s="325" t="s">
        <v>19</v>
      </c>
      <c r="J69" s="326" t="s">
        <v>19</v>
      </c>
    </row>
    <row r="70" spans="1:13" s="8" customFormat="1" ht="28.5" x14ac:dyDescent="0.25">
      <c r="A70" s="517"/>
      <c r="B70" s="488"/>
      <c r="C70" s="488"/>
      <c r="D70" s="496"/>
      <c r="E70" s="496"/>
      <c r="F70" s="325" t="s">
        <v>199</v>
      </c>
      <c r="G70" s="311">
        <v>1773.47479</v>
      </c>
      <c r="H70" s="496"/>
      <c r="I70" s="325" t="s">
        <v>19</v>
      </c>
      <c r="J70" s="326" t="s">
        <v>19</v>
      </c>
    </row>
    <row r="71" spans="1:13" s="8" customFormat="1" ht="28.5" x14ac:dyDescent="0.25">
      <c r="A71" s="517"/>
      <c r="B71" s="488"/>
      <c r="C71" s="488"/>
      <c r="D71" s="496"/>
      <c r="E71" s="496"/>
      <c r="F71" s="325" t="s">
        <v>196</v>
      </c>
      <c r="G71" s="311">
        <v>2362.43842</v>
      </c>
      <c r="H71" s="496"/>
      <c r="I71" s="325" t="s">
        <v>19</v>
      </c>
      <c r="J71" s="326" t="s">
        <v>19</v>
      </c>
    </row>
    <row r="72" spans="1:13" s="8" customFormat="1" ht="28.5" x14ac:dyDescent="0.25">
      <c r="A72" s="517"/>
      <c r="B72" s="488"/>
      <c r="C72" s="488"/>
      <c r="D72" s="496"/>
      <c r="E72" s="496"/>
      <c r="F72" s="325" t="s">
        <v>195</v>
      </c>
      <c r="G72" s="311">
        <v>1091.5787800000001</v>
      </c>
      <c r="H72" s="496"/>
      <c r="I72" s="325" t="s">
        <v>19</v>
      </c>
      <c r="J72" s="326" t="s">
        <v>19</v>
      </c>
    </row>
    <row r="73" spans="1:13" s="8" customFormat="1" ht="28.5" x14ac:dyDescent="0.25">
      <c r="A73" s="517"/>
      <c r="B73" s="488"/>
      <c r="C73" s="488"/>
      <c r="D73" s="496"/>
      <c r="E73" s="496"/>
      <c r="F73" s="325" t="s">
        <v>198</v>
      </c>
      <c r="G73" s="311">
        <v>381.88986999999997</v>
      </c>
      <c r="H73" s="496"/>
      <c r="I73" s="325" t="s">
        <v>19</v>
      </c>
      <c r="J73" s="326" t="s">
        <v>19</v>
      </c>
    </row>
    <row r="74" spans="1:13" s="8" customFormat="1" x14ac:dyDescent="0.25">
      <c r="A74" s="517"/>
      <c r="B74" s="488" t="s">
        <v>267</v>
      </c>
      <c r="C74" s="488"/>
      <c r="D74" s="311"/>
      <c r="E74" s="311"/>
      <c r="F74" s="325"/>
      <c r="G74" s="311"/>
      <c r="H74" s="311">
        <f t="shared" ref="H74:H81" si="1">J74</f>
        <v>7794.6363789999996</v>
      </c>
      <c r="I74" s="325"/>
      <c r="J74" s="326">
        <v>7794.6363789999996</v>
      </c>
    </row>
    <row r="75" spans="1:13" s="8" customFormat="1" x14ac:dyDescent="0.25">
      <c r="A75" s="517"/>
      <c r="B75" s="488" t="s">
        <v>206</v>
      </c>
      <c r="C75" s="488"/>
      <c r="D75" s="325" t="s">
        <v>19</v>
      </c>
      <c r="E75" s="311">
        <f>G75</f>
        <v>130.7268</v>
      </c>
      <c r="F75" s="311" t="s">
        <v>19</v>
      </c>
      <c r="G75" s="311">
        <f>130726.8/1000</f>
        <v>130.7268</v>
      </c>
      <c r="H75" s="311">
        <f t="shared" si="1"/>
        <v>130.7268</v>
      </c>
      <c r="I75" s="311" t="s">
        <v>19</v>
      </c>
      <c r="J75" s="312">
        <f>130726.8/1000</f>
        <v>130.7268</v>
      </c>
    </row>
    <row r="76" spans="1:13" s="8" customFormat="1" x14ac:dyDescent="0.25">
      <c r="A76" s="517"/>
      <c r="B76" s="488" t="s">
        <v>262</v>
      </c>
      <c r="C76" s="488"/>
      <c r="D76" s="325" t="s">
        <v>19</v>
      </c>
      <c r="E76" s="311">
        <f t="shared" ref="E76:E78" si="2">G76</f>
        <v>62.11835</v>
      </c>
      <c r="F76" s="311" t="s">
        <v>19</v>
      </c>
      <c r="G76" s="311">
        <v>62.11835</v>
      </c>
      <c r="H76" s="311">
        <f t="shared" si="1"/>
        <v>62.11835</v>
      </c>
      <c r="I76" s="311" t="s">
        <v>19</v>
      </c>
      <c r="J76" s="312">
        <v>62.11835</v>
      </c>
      <c r="M76" s="188">
        <f>J76+J77+J78+J127+J126+J125</f>
        <v>668.26666</v>
      </c>
    </row>
    <row r="77" spans="1:13" s="8" customFormat="1" x14ac:dyDescent="0.25">
      <c r="A77" s="517"/>
      <c r="B77" s="488" t="s">
        <v>263</v>
      </c>
      <c r="C77" s="488"/>
      <c r="D77" s="325" t="s">
        <v>19</v>
      </c>
      <c r="E77" s="311">
        <f t="shared" si="2"/>
        <v>41.845049999999986</v>
      </c>
      <c r="F77" s="311" t="s">
        <v>19</v>
      </c>
      <c r="G77" s="311">
        <v>41.845049999999986</v>
      </c>
      <c r="H77" s="311">
        <f t="shared" si="1"/>
        <v>41.845049999999986</v>
      </c>
      <c r="I77" s="311" t="s">
        <v>19</v>
      </c>
      <c r="J77" s="312">
        <v>41.845049999999986</v>
      </c>
    </row>
    <row r="78" spans="1:13" s="8" customFormat="1" ht="15.75" thickBot="1" x14ac:dyDescent="0.3">
      <c r="A78" s="518"/>
      <c r="B78" s="523" t="s">
        <v>264</v>
      </c>
      <c r="C78" s="523"/>
      <c r="D78" s="352" t="s">
        <v>19</v>
      </c>
      <c r="E78" s="302">
        <f t="shared" si="2"/>
        <v>112.54352</v>
      </c>
      <c r="F78" s="302" t="s">
        <v>19</v>
      </c>
      <c r="G78" s="302">
        <v>112.54352</v>
      </c>
      <c r="H78" s="302">
        <f t="shared" si="1"/>
        <v>112.54352</v>
      </c>
      <c r="I78" s="302" t="s">
        <v>19</v>
      </c>
      <c r="J78" s="303">
        <v>112.54352</v>
      </c>
    </row>
    <row r="79" spans="1:13" s="8" customFormat="1" ht="15.75" thickBot="1" x14ac:dyDescent="0.3">
      <c r="A79" s="381"/>
      <c r="B79" s="362"/>
      <c r="C79" s="362"/>
      <c r="D79" s="362"/>
      <c r="E79" s="382"/>
      <c r="F79" s="382"/>
      <c r="G79" s="382"/>
      <c r="H79" s="382"/>
      <c r="I79" s="382"/>
      <c r="J79" s="382"/>
    </row>
    <row r="80" spans="1:13" s="8" customFormat="1" ht="28.5" x14ac:dyDescent="0.25">
      <c r="A80" s="497" t="s">
        <v>203</v>
      </c>
      <c r="B80" s="330" t="s">
        <v>204</v>
      </c>
      <c r="C80" s="331" t="s">
        <v>205</v>
      </c>
      <c r="D80" s="332">
        <v>19.6450058</v>
      </c>
      <c r="E80" s="332" t="str">
        <f>G80</f>
        <v>__</v>
      </c>
      <c r="F80" s="299" t="s">
        <v>19</v>
      </c>
      <c r="G80" s="299" t="s">
        <v>19</v>
      </c>
      <c r="H80" s="332">
        <f t="shared" si="1"/>
        <v>19.6450058</v>
      </c>
      <c r="I80" s="298" t="s">
        <v>214</v>
      </c>
      <c r="J80" s="300">
        <v>19.6450058</v>
      </c>
      <c r="L80" s="188"/>
    </row>
    <row r="81" spans="1:12" s="8" customFormat="1" ht="28.5" x14ac:dyDescent="0.25">
      <c r="A81" s="500"/>
      <c r="B81" s="333" t="s">
        <v>60</v>
      </c>
      <c r="C81" s="313" t="s">
        <v>227</v>
      </c>
      <c r="D81" s="334">
        <f>9009348.3/1000</f>
        <v>9009.3483000000015</v>
      </c>
      <c r="E81" s="334" t="str">
        <f t="shared" ref="E81" si="3">G81</f>
        <v>__</v>
      </c>
      <c r="F81" s="311" t="s">
        <v>19</v>
      </c>
      <c r="G81" s="311" t="s">
        <v>19</v>
      </c>
      <c r="H81" s="334">
        <f t="shared" si="1"/>
        <v>2614.6050599999999</v>
      </c>
      <c r="I81" s="311" t="s">
        <v>268</v>
      </c>
      <c r="J81" s="312">
        <v>2614.6050599999999</v>
      </c>
      <c r="L81" s="188"/>
    </row>
    <row r="82" spans="1:12" s="8" customFormat="1" ht="29.25" thickBot="1" x14ac:dyDescent="0.3">
      <c r="A82" s="530"/>
      <c r="B82" s="383" t="s">
        <v>279</v>
      </c>
      <c r="C82" s="314" t="s">
        <v>280</v>
      </c>
      <c r="D82" s="384">
        <f>66177229.59/1000</f>
        <v>66177.229590000003</v>
      </c>
      <c r="E82" s="384">
        <f>G82</f>
        <v>19853.168879999997</v>
      </c>
      <c r="F82" s="302" t="s">
        <v>281</v>
      </c>
      <c r="G82" s="385">
        <v>19853.168879999997</v>
      </c>
      <c r="H82" s="384"/>
      <c r="I82" s="302"/>
      <c r="J82" s="303"/>
      <c r="L82" s="188"/>
    </row>
    <row r="83" spans="1:12" s="8" customFormat="1" ht="28.5" x14ac:dyDescent="0.25">
      <c r="A83" s="482" t="s">
        <v>70</v>
      </c>
      <c r="B83" s="484" t="s">
        <v>71</v>
      </c>
      <c r="C83" s="484" t="s">
        <v>72</v>
      </c>
      <c r="D83" s="484">
        <v>76117.5</v>
      </c>
      <c r="E83" s="487">
        <f>SUM(G83:G85)</f>
        <v>68500.004159999997</v>
      </c>
      <c r="F83" s="298" t="s">
        <v>73</v>
      </c>
      <c r="G83" s="299">
        <v>18686.76355</v>
      </c>
      <c r="H83" s="487">
        <f>SUM(J83:J85)</f>
        <v>14586.2296054</v>
      </c>
      <c r="I83" s="298" t="s">
        <v>74</v>
      </c>
      <c r="J83" s="300">
        <f>1581261.2*1.18/1000</f>
        <v>1865.8882159999998</v>
      </c>
    </row>
    <row r="84" spans="1:12" s="8" customFormat="1" ht="28.5" x14ac:dyDescent="0.25">
      <c r="A84" s="489"/>
      <c r="B84" s="485"/>
      <c r="C84" s="485"/>
      <c r="D84" s="485"/>
      <c r="E84" s="496"/>
      <c r="F84" s="310" t="s">
        <v>19</v>
      </c>
      <c r="G84" s="311" t="s">
        <v>19</v>
      </c>
      <c r="H84" s="496"/>
      <c r="I84" s="310" t="s">
        <v>75</v>
      </c>
      <c r="J84" s="312">
        <v>11356.159224999999</v>
      </c>
    </row>
    <row r="85" spans="1:12" s="8" customFormat="1" ht="28.5" x14ac:dyDescent="0.25">
      <c r="A85" s="489"/>
      <c r="B85" s="485"/>
      <c r="C85" s="485"/>
      <c r="D85" s="485"/>
      <c r="E85" s="496"/>
      <c r="F85" s="310" t="s">
        <v>197</v>
      </c>
      <c r="G85" s="311">
        <f>49813240.61/1000</f>
        <v>49813.240610000001</v>
      </c>
      <c r="H85" s="496"/>
      <c r="I85" s="310" t="s">
        <v>169</v>
      </c>
      <c r="J85" s="312">
        <f>(1156086.58/1000)*1.18</f>
        <v>1364.1821644000001</v>
      </c>
    </row>
    <row r="86" spans="1:12" s="8" customFormat="1" x14ac:dyDescent="0.25">
      <c r="A86" s="489"/>
      <c r="B86" s="485" t="s">
        <v>76</v>
      </c>
      <c r="C86" s="485"/>
      <c r="D86" s="310" t="s">
        <v>19</v>
      </c>
      <c r="E86" s="310" t="str">
        <f>G86</f>
        <v>__</v>
      </c>
      <c r="F86" s="310" t="s">
        <v>19</v>
      </c>
      <c r="G86" s="310" t="s">
        <v>19</v>
      </c>
      <c r="H86" s="311">
        <f>J86</f>
        <v>20560.291975</v>
      </c>
      <c r="I86" s="311" t="s">
        <v>19</v>
      </c>
      <c r="J86" s="312">
        <f>541.66779+19644.6171198+374.0070652</f>
        <v>20560.291975</v>
      </c>
    </row>
    <row r="87" spans="1:12" s="8" customFormat="1" ht="57.75" thickBot="1" x14ac:dyDescent="0.3">
      <c r="A87" s="540"/>
      <c r="B87" s="335" t="s">
        <v>171</v>
      </c>
      <c r="C87" s="335" t="s">
        <v>165</v>
      </c>
      <c r="D87" s="328">
        <v>99456.01</v>
      </c>
      <c r="E87" s="328">
        <f>G87</f>
        <v>99.45599</v>
      </c>
      <c r="F87" s="327" t="s">
        <v>179</v>
      </c>
      <c r="G87" s="328">
        <f>99455.99/1000</f>
        <v>99.45599</v>
      </c>
      <c r="H87" s="328">
        <f>J87</f>
        <v>99.455993199999995</v>
      </c>
      <c r="I87" s="327" t="s">
        <v>170</v>
      </c>
      <c r="J87" s="329">
        <f>(84284.74/1000)*1.18</f>
        <v>99.455993199999995</v>
      </c>
    </row>
    <row r="88" spans="1:12" s="8" customFormat="1" ht="42.75" x14ac:dyDescent="0.25">
      <c r="A88" s="497" t="s">
        <v>77</v>
      </c>
      <c r="B88" s="331" t="s">
        <v>78</v>
      </c>
      <c r="C88" s="331" t="s">
        <v>79</v>
      </c>
      <c r="D88" s="299">
        <f>1445500/1000</f>
        <v>1445.5</v>
      </c>
      <c r="E88" s="299">
        <f>SUM(G88:G88)</f>
        <v>335.86793</v>
      </c>
      <c r="F88" s="298" t="s">
        <v>80</v>
      </c>
      <c r="G88" s="299">
        <f>335867.93/1000</f>
        <v>335.86793</v>
      </c>
      <c r="H88" s="299">
        <f>SUM(J88:J88)</f>
        <v>0</v>
      </c>
      <c r="I88" s="298" t="s">
        <v>19</v>
      </c>
      <c r="J88" s="336" t="s">
        <v>19</v>
      </c>
    </row>
    <row r="89" spans="1:12" s="8" customFormat="1" ht="42.75" x14ac:dyDescent="0.25">
      <c r="A89" s="500"/>
      <c r="B89" s="313" t="s">
        <v>228</v>
      </c>
      <c r="C89" s="313" t="s">
        <v>229</v>
      </c>
      <c r="D89" s="311">
        <f>2193887.84/1000</f>
        <v>2193.8878399999999</v>
      </c>
      <c r="E89" s="311">
        <f t="shared" ref="E89:E91" si="4">SUM(G89:G89)</f>
        <v>0</v>
      </c>
      <c r="F89" s="310"/>
      <c r="G89" s="311"/>
      <c r="H89" s="311">
        <f>J89</f>
        <v>1504.7760137999999</v>
      </c>
      <c r="I89" s="310" t="s">
        <v>250</v>
      </c>
      <c r="J89" s="312">
        <v>1504.7760137999999</v>
      </c>
    </row>
    <row r="90" spans="1:12" s="8" customFormat="1" ht="42.75" x14ac:dyDescent="0.25">
      <c r="A90" s="500"/>
      <c r="B90" s="313" t="s">
        <v>234</v>
      </c>
      <c r="C90" s="313" t="s">
        <v>235</v>
      </c>
      <c r="D90" s="311">
        <f>86009.11/1000</f>
        <v>86.009110000000007</v>
      </c>
      <c r="E90" s="311">
        <f t="shared" si="4"/>
        <v>0</v>
      </c>
      <c r="F90" s="310"/>
      <c r="G90" s="311"/>
      <c r="H90" s="311">
        <f>J90</f>
        <v>86.009114399999987</v>
      </c>
      <c r="I90" s="310" t="s">
        <v>258</v>
      </c>
      <c r="J90" s="312">
        <v>86.009114399999987</v>
      </c>
    </row>
    <row r="91" spans="1:12" s="8" customFormat="1" ht="42.75" x14ac:dyDescent="0.25">
      <c r="A91" s="500"/>
      <c r="B91" s="313" t="s">
        <v>245</v>
      </c>
      <c r="C91" s="313" t="s">
        <v>246</v>
      </c>
      <c r="D91" s="311">
        <f>200000/1000</f>
        <v>200</v>
      </c>
      <c r="E91" s="311">
        <f t="shared" si="4"/>
        <v>0</v>
      </c>
      <c r="F91" s="310"/>
      <c r="G91" s="311"/>
      <c r="H91" s="311">
        <f>J91</f>
        <v>200</v>
      </c>
      <c r="I91" s="311" t="s">
        <v>312</v>
      </c>
      <c r="J91" s="312">
        <v>200</v>
      </c>
    </row>
    <row r="92" spans="1:12" s="8" customFormat="1" ht="28.5" x14ac:dyDescent="0.25">
      <c r="A92" s="500"/>
      <c r="B92" s="313" t="s">
        <v>297</v>
      </c>
      <c r="C92" s="313" t="s">
        <v>298</v>
      </c>
      <c r="D92" s="311">
        <f>345834.18/1000</f>
        <v>345.83418</v>
      </c>
      <c r="E92" s="311">
        <f>SUM(G92:G92)</f>
        <v>345.83418</v>
      </c>
      <c r="F92" s="310" t="s">
        <v>299</v>
      </c>
      <c r="G92" s="311">
        <v>345.83418</v>
      </c>
      <c r="H92" s="311"/>
      <c r="I92" s="310"/>
      <c r="J92" s="312"/>
    </row>
    <row r="93" spans="1:12" s="8" customFormat="1" ht="28.5" x14ac:dyDescent="0.25">
      <c r="A93" s="500"/>
      <c r="B93" s="313" t="s">
        <v>300</v>
      </c>
      <c r="C93" s="313" t="s">
        <v>301</v>
      </c>
      <c r="D93" s="311">
        <f>358920/1000</f>
        <v>358.92</v>
      </c>
      <c r="E93" s="311">
        <f>SUM(G93:G93)</f>
        <v>358.92</v>
      </c>
      <c r="F93" s="310" t="s">
        <v>302</v>
      </c>
      <c r="G93" s="311">
        <v>358.92</v>
      </c>
      <c r="H93" s="311"/>
      <c r="I93" s="310"/>
      <c r="J93" s="312"/>
    </row>
    <row r="94" spans="1:12" s="8" customFormat="1" ht="29.25" thickBot="1" x14ac:dyDescent="0.3">
      <c r="A94" s="530"/>
      <c r="B94" s="314" t="s">
        <v>243</v>
      </c>
      <c r="C94" s="314" t="s">
        <v>244</v>
      </c>
      <c r="D94" s="302"/>
      <c r="E94" s="302">
        <f>SUM(G94:G94)</f>
        <v>108.9639494</v>
      </c>
      <c r="F94" s="301" t="s">
        <v>313</v>
      </c>
      <c r="G94" s="302">
        <v>108.9639494</v>
      </c>
      <c r="H94" s="302"/>
      <c r="I94" s="301"/>
      <c r="J94" s="303"/>
    </row>
    <row r="95" spans="1:12" s="8" customFormat="1" ht="63.75" customHeight="1" x14ac:dyDescent="0.25">
      <c r="A95" s="497" t="s">
        <v>81</v>
      </c>
      <c r="B95" s="331" t="s">
        <v>82</v>
      </c>
      <c r="C95" s="331" t="s">
        <v>83</v>
      </c>
      <c r="D95" s="299">
        <f>8181813.14/1000</f>
        <v>8181.8131399999993</v>
      </c>
      <c r="E95" s="299">
        <f>SUM(G95:G95)</f>
        <v>0</v>
      </c>
      <c r="F95" s="331" t="s">
        <v>19</v>
      </c>
      <c r="G95" s="299" t="s">
        <v>19</v>
      </c>
      <c r="H95" s="299">
        <f>SUM(J95:J95)</f>
        <v>0</v>
      </c>
      <c r="I95" s="331" t="s">
        <v>19</v>
      </c>
      <c r="J95" s="336" t="s">
        <v>19</v>
      </c>
    </row>
    <row r="96" spans="1:12" s="8" customFormat="1" ht="28.5" x14ac:dyDescent="0.25">
      <c r="A96" s="500"/>
      <c r="B96" s="313" t="s">
        <v>84</v>
      </c>
      <c r="C96" s="313" t="s">
        <v>85</v>
      </c>
      <c r="D96" s="311">
        <f>514893.6/1000</f>
        <v>514.89359999999999</v>
      </c>
      <c r="E96" s="311">
        <f>G96</f>
        <v>514.89359999999999</v>
      </c>
      <c r="F96" s="313" t="s">
        <v>86</v>
      </c>
      <c r="G96" s="311">
        <f>514893.6/1000</f>
        <v>514.89359999999999</v>
      </c>
      <c r="H96" s="311">
        <f>SUM(J96:J96)</f>
        <v>0</v>
      </c>
      <c r="I96" s="313" t="s">
        <v>19</v>
      </c>
      <c r="J96" s="326" t="s">
        <v>19</v>
      </c>
    </row>
    <row r="97" spans="1:15" s="8" customFormat="1" ht="28.5" x14ac:dyDescent="0.25">
      <c r="A97" s="500"/>
      <c r="B97" s="485" t="s">
        <v>162</v>
      </c>
      <c r="C97" s="485" t="s">
        <v>166</v>
      </c>
      <c r="D97" s="496">
        <f>1870809/1000</f>
        <v>1870.809</v>
      </c>
      <c r="E97" s="496">
        <f>G97+G98+G99</f>
        <v>1870.80927</v>
      </c>
      <c r="F97" s="313" t="s">
        <v>180</v>
      </c>
      <c r="G97" s="311">
        <f>426279.58/1000</f>
        <v>426.27958000000001</v>
      </c>
      <c r="H97" s="311">
        <f t="shared" ref="H97:H99" si="5">SUM(J97:J97)</f>
        <v>0</v>
      </c>
      <c r="I97" s="313" t="s">
        <v>19</v>
      </c>
      <c r="J97" s="326" t="s">
        <v>19</v>
      </c>
    </row>
    <row r="98" spans="1:15" s="8" customFormat="1" ht="28.5" x14ac:dyDescent="0.25">
      <c r="A98" s="500"/>
      <c r="B98" s="485"/>
      <c r="C98" s="485"/>
      <c r="D98" s="496"/>
      <c r="E98" s="496"/>
      <c r="F98" s="313" t="s">
        <v>182</v>
      </c>
      <c r="G98" s="311">
        <f>506089.2/1000</f>
        <v>506.08920000000001</v>
      </c>
      <c r="H98" s="311">
        <f t="shared" si="5"/>
        <v>0</v>
      </c>
      <c r="I98" s="313" t="s">
        <v>19</v>
      </c>
      <c r="J98" s="326" t="s">
        <v>19</v>
      </c>
    </row>
    <row r="99" spans="1:15" s="8" customFormat="1" ht="29.25" thickBot="1" x14ac:dyDescent="0.3">
      <c r="A99" s="530"/>
      <c r="B99" s="486"/>
      <c r="C99" s="486"/>
      <c r="D99" s="490"/>
      <c r="E99" s="490"/>
      <c r="F99" s="314" t="s">
        <v>181</v>
      </c>
      <c r="G99" s="302">
        <f>938440.49/1000</f>
        <v>938.44048999999995</v>
      </c>
      <c r="H99" s="302">
        <f t="shared" si="5"/>
        <v>0</v>
      </c>
      <c r="I99" s="314" t="s">
        <v>19</v>
      </c>
      <c r="J99" s="575" t="s">
        <v>19</v>
      </c>
    </row>
    <row r="100" spans="1:15" s="8" customFormat="1" ht="15.75" thickBot="1" x14ac:dyDescent="0.3">
      <c r="A100" s="380"/>
      <c r="B100" s="381"/>
      <c r="C100" s="381"/>
      <c r="D100" s="382"/>
      <c r="E100" s="382"/>
      <c r="F100" s="381"/>
      <c r="G100" s="382"/>
      <c r="H100" s="382"/>
      <c r="I100" s="381"/>
      <c r="J100" s="362"/>
    </row>
    <row r="101" spans="1:15" s="8" customFormat="1" ht="35.25" customHeight="1" x14ac:dyDescent="0.25">
      <c r="A101" s="497" t="s">
        <v>87</v>
      </c>
      <c r="B101" s="331" t="s">
        <v>88</v>
      </c>
      <c r="C101" s="331" t="s">
        <v>89</v>
      </c>
      <c r="D101" s="299">
        <v>1986</v>
      </c>
      <c r="E101" s="299">
        <f>SUM(G101)</f>
        <v>1986</v>
      </c>
      <c r="F101" s="331" t="s">
        <v>90</v>
      </c>
      <c r="G101" s="339">
        <v>1986</v>
      </c>
      <c r="H101" s="340">
        <f>SUM(J101)</f>
        <v>0</v>
      </c>
      <c r="I101" s="331" t="s">
        <v>19</v>
      </c>
      <c r="J101" s="336" t="s">
        <v>19</v>
      </c>
    </row>
    <row r="102" spans="1:15" s="8" customFormat="1" ht="28.5" x14ac:dyDescent="0.25">
      <c r="A102" s="500"/>
      <c r="B102" s="313" t="s">
        <v>238</v>
      </c>
      <c r="C102" s="313" t="s">
        <v>239</v>
      </c>
      <c r="D102" s="311">
        <f>5648628.51/1000</f>
        <v>5648.6285099999996</v>
      </c>
      <c r="E102" s="311">
        <f t="shared" ref="E102:E103" si="6">SUM(G102)</f>
        <v>0</v>
      </c>
      <c r="F102" s="313"/>
      <c r="G102" s="325"/>
      <c r="H102" s="338">
        <f>SUM(J102)</f>
        <v>3213.4857989999996</v>
      </c>
      <c r="I102" s="313" t="s">
        <v>310</v>
      </c>
      <c r="J102" s="326">
        <v>3213.4857989999996</v>
      </c>
    </row>
    <row r="103" spans="1:15" s="8" customFormat="1" ht="28.5" x14ac:dyDescent="0.25">
      <c r="A103" s="500"/>
      <c r="B103" s="313" t="s">
        <v>243</v>
      </c>
      <c r="C103" s="313" t="s">
        <v>244</v>
      </c>
      <c r="D103" s="311"/>
      <c r="E103" s="311">
        <f t="shared" si="6"/>
        <v>0</v>
      </c>
      <c r="F103" s="313"/>
      <c r="G103" s="325"/>
      <c r="H103" s="338">
        <f>SUM(J103)</f>
        <v>707.28822400000001</v>
      </c>
      <c r="I103" s="313"/>
      <c r="J103" s="326">
        <v>707.28822400000001</v>
      </c>
    </row>
    <row r="104" spans="1:15" s="8" customFormat="1" ht="28.5" x14ac:dyDescent="0.25">
      <c r="A104" s="500"/>
      <c r="B104" s="485" t="s">
        <v>84</v>
      </c>
      <c r="C104" s="485" t="s">
        <v>282</v>
      </c>
      <c r="D104" s="485">
        <f>8817712.56/1000</f>
        <v>8817.7125599999999</v>
      </c>
      <c r="E104" s="488">
        <f>SUM(G104:G106)</f>
        <v>2122.1431600000001</v>
      </c>
      <c r="F104" s="313" t="s">
        <v>283</v>
      </c>
      <c r="G104" s="325">
        <v>961.05011000000002</v>
      </c>
      <c r="H104" s="338"/>
      <c r="I104" s="313"/>
      <c r="J104" s="326"/>
      <c r="L104" s="8">
        <v>8</v>
      </c>
      <c r="M104" s="190">
        <f>G104+G105+G107</f>
        <v>1456.0724784000001</v>
      </c>
    </row>
    <row r="105" spans="1:15" s="8" customFormat="1" ht="28.5" x14ac:dyDescent="0.25">
      <c r="A105" s="500"/>
      <c r="B105" s="485"/>
      <c r="C105" s="485"/>
      <c r="D105" s="485"/>
      <c r="E105" s="488"/>
      <c r="F105" s="313" t="s">
        <v>284</v>
      </c>
      <c r="G105" s="325">
        <v>355.59017</v>
      </c>
      <c r="H105" s="338"/>
      <c r="I105" s="313"/>
      <c r="J105" s="326"/>
      <c r="L105" s="8">
        <v>9</v>
      </c>
      <c r="M105" s="190">
        <f>G106+G108</f>
        <v>890.80563459999996</v>
      </c>
    </row>
    <row r="106" spans="1:15" s="8" customFormat="1" ht="28.5" x14ac:dyDescent="0.25">
      <c r="A106" s="500"/>
      <c r="B106" s="485"/>
      <c r="C106" s="485"/>
      <c r="D106" s="485"/>
      <c r="E106" s="488"/>
      <c r="F106" s="313" t="s">
        <v>285</v>
      </c>
      <c r="G106" s="325">
        <v>805.50288</v>
      </c>
      <c r="H106" s="338"/>
      <c r="I106" s="313"/>
      <c r="J106" s="326"/>
      <c r="O106" s="190">
        <f>G106+G108</f>
        <v>890.80563459999996</v>
      </c>
    </row>
    <row r="107" spans="1:15" s="8" customFormat="1" ht="28.5" x14ac:dyDescent="0.25">
      <c r="A107" s="500"/>
      <c r="B107" s="485" t="s">
        <v>243</v>
      </c>
      <c r="C107" s="485" t="s">
        <v>244</v>
      </c>
      <c r="D107" s="485"/>
      <c r="E107" s="488">
        <f>SUM(G107:G108)</f>
        <v>224.73495300000002</v>
      </c>
      <c r="F107" s="313" t="s">
        <v>313</v>
      </c>
      <c r="G107" s="325">
        <f>118162.88*1.18/1000</f>
        <v>139.4321984</v>
      </c>
      <c r="H107" s="338"/>
      <c r="I107" s="313"/>
      <c r="J107" s="326"/>
      <c r="L107" s="190">
        <f>G107+G105+G104</f>
        <v>1456.0724783999999</v>
      </c>
    </row>
    <row r="108" spans="1:15" s="8" customFormat="1" ht="28.5" x14ac:dyDescent="0.25">
      <c r="A108" s="500"/>
      <c r="B108" s="485"/>
      <c r="C108" s="485"/>
      <c r="D108" s="485"/>
      <c r="E108" s="488"/>
      <c r="F108" s="313" t="s">
        <v>314</v>
      </c>
      <c r="G108" s="325">
        <f>85302.7546/1000</f>
        <v>85.3027546</v>
      </c>
      <c r="H108" s="338"/>
      <c r="I108" s="313"/>
      <c r="J108" s="326"/>
      <c r="L108" s="190"/>
    </row>
    <row r="109" spans="1:15" s="8" customFormat="1" ht="15.75" thickBot="1" x14ac:dyDescent="0.3">
      <c r="A109" s="530"/>
      <c r="B109" s="486" t="s">
        <v>266</v>
      </c>
      <c r="C109" s="486"/>
      <c r="D109" s="302"/>
      <c r="E109" s="302"/>
      <c r="F109" s="314"/>
      <c r="G109" s="352"/>
      <c r="H109" s="576">
        <f>SUM(J109)</f>
        <v>1675.9343766000002</v>
      </c>
      <c r="I109" s="314"/>
      <c r="J109" s="575">
        <v>1675.9343766000002</v>
      </c>
    </row>
    <row r="110" spans="1:15" s="8" customFormat="1" ht="28.5" x14ac:dyDescent="0.25">
      <c r="A110" s="497" t="s">
        <v>224</v>
      </c>
      <c r="B110" s="484" t="s">
        <v>225</v>
      </c>
      <c r="C110" s="484" t="s">
        <v>226</v>
      </c>
      <c r="D110" s="484">
        <f>741350/1000</f>
        <v>741.35</v>
      </c>
      <c r="E110" s="524">
        <f>G110</f>
        <v>726.37330000000009</v>
      </c>
      <c r="F110" s="331" t="s">
        <v>286</v>
      </c>
      <c r="G110" s="298">
        <v>726.37330000000009</v>
      </c>
      <c r="H110" s="541">
        <f>SUM(J110:J111)</f>
        <v>726.37329879999993</v>
      </c>
      <c r="I110" s="298" t="s">
        <v>249</v>
      </c>
      <c r="J110" s="336">
        <f>700337.2688/1000</f>
        <v>700.33726879999995</v>
      </c>
    </row>
    <row r="111" spans="1:15" s="8" customFormat="1" ht="29.25" thickBot="1" x14ac:dyDescent="0.3">
      <c r="A111" s="498"/>
      <c r="B111" s="499"/>
      <c r="C111" s="499"/>
      <c r="D111" s="499"/>
      <c r="E111" s="499"/>
      <c r="F111" s="335"/>
      <c r="G111" s="327"/>
      <c r="H111" s="542"/>
      <c r="I111" s="327" t="s">
        <v>249</v>
      </c>
      <c r="J111" s="337">
        <f>26036.03/1000</f>
        <v>26.03603</v>
      </c>
      <c r="M111" s="190">
        <f>G110+G117+G118+G119+G120+G121</f>
        <v>11369.723139999998</v>
      </c>
    </row>
    <row r="112" spans="1:15" ht="28.5" x14ac:dyDescent="0.25">
      <c r="A112" s="482" t="s">
        <v>91</v>
      </c>
      <c r="B112" s="484" t="s">
        <v>92</v>
      </c>
      <c r="C112" s="484" t="s">
        <v>93</v>
      </c>
      <c r="D112" s="484">
        <v>118900</v>
      </c>
      <c r="E112" s="487">
        <f>SUM(G112:G123)</f>
        <v>26064.555079999998</v>
      </c>
      <c r="F112" s="331" t="s">
        <v>94</v>
      </c>
      <c r="G112" s="299">
        <v>1500</v>
      </c>
      <c r="H112" s="524">
        <f>SUM(J112:J123)</f>
        <v>27870.841260000001</v>
      </c>
      <c r="I112" s="298" t="s">
        <v>95</v>
      </c>
      <c r="J112" s="336">
        <f>3754970*1.18/1000</f>
        <v>4430.8645999999999</v>
      </c>
    </row>
    <row r="113" spans="1:18" ht="28.5" x14ac:dyDescent="0.25">
      <c r="A113" s="489"/>
      <c r="B113" s="485"/>
      <c r="C113" s="485"/>
      <c r="D113" s="485"/>
      <c r="E113" s="485"/>
      <c r="F113" s="313" t="s">
        <v>96</v>
      </c>
      <c r="G113" s="311">
        <v>2708.9962799999998</v>
      </c>
      <c r="H113" s="488"/>
      <c r="I113" s="310" t="s">
        <v>19</v>
      </c>
      <c r="J113" s="326" t="s">
        <v>19</v>
      </c>
    </row>
    <row r="114" spans="1:18" ht="28.5" x14ac:dyDescent="0.25">
      <c r="A114" s="489"/>
      <c r="B114" s="485"/>
      <c r="C114" s="485"/>
      <c r="D114" s="485"/>
      <c r="E114" s="485"/>
      <c r="F114" s="313" t="s">
        <v>97</v>
      </c>
      <c r="G114" s="311">
        <v>4430.8645999999999</v>
      </c>
      <c r="H114" s="488"/>
      <c r="I114" s="310" t="s">
        <v>19</v>
      </c>
      <c r="J114" s="326" t="s">
        <v>19</v>
      </c>
    </row>
    <row r="115" spans="1:18" ht="28.5" x14ac:dyDescent="0.25">
      <c r="A115" s="489"/>
      <c r="B115" s="485"/>
      <c r="C115" s="485"/>
      <c r="D115" s="485"/>
      <c r="E115" s="485"/>
      <c r="F115" s="313" t="s">
        <v>189</v>
      </c>
      <c r="G115" s="311">
        <f>3043458.36/1000</f>
        <v>3043.4583600000001</v>
      </c>
      <c r="H115" s="488"/>
      <c r="I115" s="310" t="s">
        <v>156</v>
      </c>
      <c r="J115" s="312">
        <v>3043.4583600000001</v>
      </c>
    </row>
    <row r="116" spans="1:18" ht="28.5" x14ac:dyDescent="0.25">
      <c r="A116" s="489"/>
      <c r="B116" s="485"/>
      <c r="C116" s="485"/>
      <c r="D116" s="485"/>
      <c r="E116" s="485"/>
      <c r="F116" s="313" t="s">
        <v>194</v>
      </c>
      <c r="G116" s="311">
        <f>3737886/1000</f>
        <v>3737.886</v>
      </c>
      <c r="H116" s="488"/>
      <c r="I116" s="310" t="s">
        <v>164</v>
      </c>
      <c r="J116" s="312">
        <v>3739.5533399999999</v>
      </c>
    </row>
    <row r="117" spans="1:18" ht="42.75" x14ac:dyDescent="0.25">
      <c r="A117" s="489"/>
      <c r="B117" s="485"/>
      <c r="C117" s="485"/>
      <c r="D117" s="485"/>
      <c r="E117" s="485"/>
      <c r="F117" s="313" t="s">
        <v>287</v>
      </c>
      <c r="G117" s="311">
        <v>367.47559999999999</v>
      </c>
      <c r="H117" s="488"/>
      <c r="I117" s="310" t="s">
        <v>161</v>
      </c>
      <c r="J117" s="312">
        <v>-1.6673399999999998</v>
      </c>
      <c r="L117" s="236">
        <f>G117+G118+G119+G120+G121+G125+G126+G127</f>
        <v>11095.109579999998</v>
      </c>
    </row>
    <row r="118" spans="1:18" ht="28.5" x14ac:dyDescent="0.25">
      <c r="A118" s="489"/>
      <c r="B118" s="485"/>
      <c r="C118" s="485"/>
      <c r="D118" s="485"/>
      <c r="E118" s="485"/>
      <c r="F118" s="313" t="s">
        <v>288</v>
      </c>
      <c r="G118" s="311">
        <v>597.43399999999997</v>
      </c>
      <c r="H118" s="488"/>
      <c r="I118" s="310" t="s">
        <v>173</v>
      </c>
      <c r="J118" s="312">
        <f>(311420/1000)*1.18</f>
        <v>367.47559999999999</v>
      </c>
    </row>
    <row r="119" spans="1:18" ht="28.5" x14ac:dyDescent="0.25">
      <c r="A119" s="489"/>
      <c r="B119" s="485"/>
      <c r="C119" s="485"/>
      <c r="D119" s="485"/>
      <c r="E119" s="485"/>
      <c r="F119" s="313" t="s">
        <v>289</v>
      </c>
      <c r="G119" s="311">
        <v>893.79571999999996</v>
      </c>
      <c r="H119" s="488"/>
      <c r="I119" s="310" t="s">
        <v>174</v>
      </c>
      <c r="J119" s="312">
        <v>597.43399999999997</v>
      </c>
      <c r="L119" s="236">
        <f>G120+G121+G127</f>
        <v>8985.1206299999994</v>
      </c>
    </row>
    <row r="120" spans="1:18" ht="28.5" x14ac:dyDescent="0.25">
      <c r="A120" s="489"/>
      <c r="B120" s="485"/>
      <c r="C120" s="485"/>
      <c r="D120" s="485"/>
      <c r="E120" s="485"/>
      <c r="F120" s="313" t="s">
        <v>290</v>
      </c>
      <c r="G120" s="311">
        <v>4441.6132200000002</v>
      </c>
      <c r="H120" s="488"/>
      <c r="I120" s="310" t="s">
        <v>212</v>
      </c>
      <c r="J120" s="312">
        <v>893.79571999999996</v>
      </c>
    </row>
    <row r="121" spans="1:18" ht="28.5" x14ac:dyDescent="0.25">
      <c r="A121" s="489"/>
      <c r="B121" s="485"/>
      <c r="C121" s="485"/>
      <c r="D121" s="485"/>
      <c r="E121" s="485"/>
      <c r="F121" s="313" t="s">
        <v>291</v>
      </c>
      <c r="G121" s="311">
        <v>4343.0312999999996</v>
      </c>
      <c r="H121" s="488"/>
      <c r="I121" s="310" t="s">
        <v>248</v>
      </c>
      <c r="J121" s="312">
        <v>4441.6132200000002</v>
      </c>
      <c r="M121" s="236">
        <f>J121+J125</f>
        <v>4561.4761200000003</v>
      </c>
    </row>
    <row r="122" spans="1:18" ht="28.5" x14ac:dyDescent="0.25">
      <c r="A122" s="489"/>
      <c r="B122" s="485"/>
      <c r="C122" s="485"/>
      <c r="D122" s="485"/>
      <c r="E122" s="485"/>
      <c r="F122" s="313" t="s">
        <v>19</v>
      </c>
      <c r="G122" s="313" t="s">
        <v>19</v>
      </c>
      <c r="H122" s="488"/>
      <c r="I122" s="310" t="s">
        <v>257</v>
      </c>
      <c r="J122" s="312">
        <v>4343.0312999999996</v>
      </c>
      <c r="M122" s="236">
        <f>J122+J126</f>
        <v>4474.4520299999995</v>
      </c>
    </row>
    <row r="123" spans="1:18" ht="28.5" x14ac:dyDescent="0.25">
      <c r="A123" s="489"/>
      <c r="B123" s="485"/>
      <c r="C123" s="485"/>
      <c r="D123" s="485"/>
      <c r="E123" s="485"/>
      <c r="F123" s="313" t="s">
        <v>19</v>
      </c>
      <c r="G123" s="313" t="s">
        <v>19</v>
      </c>
      <c r="H123" s="488"/>
      <c r="I123" s="310" t="s">
        <v>303</v>
      </c>
      <c r="J123" s="312">
        <v>6015.2824600000004</v>
      </c>
      <c r="M123" s="236">
        <f>J123+J127</f>
        <v>6215.75857</v>
      </c>
    </row>
    <row r="124" spans="1:18" x14ac:dyDescent="0.25">
      <c r="A124" s="489"/>
      <c r="B124" s="485" t="s">
        <v>206</v>
      </c>
      <c r="C124" s="485"/>
      <c r="D124" s="310" t="s">
        <v>19</v>
      </c>
      <c r="E124" s="311">
        <f>G124</f>
        <v>239.84057000000001</v>
      </c>
      <c r="F124" s="313" t="s">
        <v>19</v>
      </c>
      <c r="G124" s="311">
        <f>239840.57/1000</f>
        <v>239.84057000000001</v>
      </c>
      <c r="H124" s="311">
        <f>J124</f>
        <v>239.84057000000001</v>
      </c>
      <c r="I124" s="310" t="s">
        <v>19</v>
      </c>
      <c r="J124" s="312">
        <f>239840.57/1000</f>
        <v>239.84057000000001</v>
      </c>
    </row>
    <row r="125" spans="1:18" x14ac:dyDescent="0.25">
      <c r="A125" s="489"/>
      <c r="B125" s="485" t="s">
        <v>262</v>
      </c>
      <c r="C125" s="485"/>
      <c r="D125" s="310" t="s">
        <v>19</v>
      </c>
      <c r="E125" s="311">
        <f t="shared" ref="E125:E127" si="7">G125</f>
        <v>119.8629</v>
      </c>
      <c r="F125" s="313" t="s">
        <v>19</v>
      </c>
      <c r="G125" s="311">
        <v>119.8629</v>
      </c>
      <c r="H125" s="311">
        <f t="shared" ref="H125:H127" si="8">J125</f>
        <v>119.8629</v>
      </c>
      <c r="I125" s="310" t="s">
        <v>19</v>
      </c>
      <c r="J125" s="312">
        <v>119.8629</v>
      </c>
    </row>
    <row r="126" spans="1:18" x14ac:dyDescent="0.25">
      <c r="A126" s="489"/>
      <c r="B126" s="485" t="s">
        <v>263</v>
      </c>
      <c r="C126" s="485"/>
      <c r="D126" s="310" t="s">
        <v>19</v>
      </c>
      <c r="E126" s="311">
        <f t="shared" si="7"/>
        <v>131.42073000000002</v>
      </c>
      <c r="F126" s="313" t="s">
        <v>19</v>
      </c>
      <c r="G126" s="311">
        <v>131.42073000000002</v>
      </c>
      <c r="H126" s="311">
        <f t="shared" si="8"/>
        <v>131.42073000000002</v>
      </c>
      <c r="I126" s="310" t="s">
        <v>19</v>
      </c>
      <c r="J126" s="312">
        <v>131.42073000000002</v>
      </c>
    </row>
    <row r="127" spans="1:18" ht="15.75" thickBot="1" x14ac:dyDescent="0.3">
      <c r="A127" s="483"/>
      <c r="B127" s="486" t="s">
        <v>264</v>
      </c>
      <c r="C127" s="486"/>
      <c r="D127" s="301"/>
      <c r="E127" s="302">
        <f t="shared" si="7"/>
        <v>200.47611000000001</v>
      </c>
      <c r="F127" s="314" t="s">
        <v>19</v>
      </c>
      <c r="G127" s="302">
        <v>200.47611000000001</v>
      </c>
      <c r="H127" s="302">
        <f t="shared" si="8"/>
        <v>200.47611000000001</v>
      </c>
      <c r="I127" s="301"/>
      <c r="J127" s="303">
        <v>200.47611000000001</v>
      </c>
    </row>
    <row r="128" spans="1:18" ht="28.5" x14ac:dyDescent="0.25">
      <c r="A128" s="539" t="s">
        <v>240</v>
      </c>
      <c r="B128" s="538" t="s">
        <v>241</v>
      </c>
      <c r="C128" s="538" t="s">
        <v>242</v>
      </c>
      <c r="D128" s="535">
        <f>7148580.62/1000</f>
        <v>7148.5806199999997</v>
      </c>
      <c r="E128" s="534">
        <f>SUM(G128:G131)</f>
        <v>0</v>
      </c>
      <c r="F128" s="341" t="s">
        <v>19</v>
      </c>
      <c r="G128" s="342"/>
      <c r="H128" s="534">
        <f>SUM(J128:J131)</f>
        <v>6757.2654799999991</v>
      </c>
      <c r="I128" s="343" t="s">
        <v>305</v>
      </c>
      <c r="J128" s="344">
        <v>6470.3187799999996</v>
      </c>
      <c r="Q128" s="386"/>
      <c r="R128" s="236"/>
    </row>
    <row r="129" spans="1:14" x14ac:dyDescent="0.25">
      <c r="A129" s="489"/>
      <c r="B129" s="485"/>
      <c r="C129" s="485"/>
      <c r="D129" s="536"/>
      <c r="E129" s="496"/>
      <c r="F129" s="313" t="s">
        <v>19</v>
      </c>
      <c r="G129" s="311"/>
      <c r="H129" s="496"/>
      <c r="I129" s="543" t="s">
        <v>306</v>
      </c>
      <c r="J129" s="312">
        <v>219.05519999999999</v>
      </c>
    </row>
    <row r="130" spans="1:14" x14ac:dyDescent="0.25">
      <c r="A130" s="489"/>
      <c r="B130" s="485"/>
      <c r="C130" s="485"/>
      <c r="D130" s="536"/>
      <c r="E130" s="496"/>
      <c r="F130" s="313" t="s">
        <v>19</v>
      </c>
      <c r="G130" s="311"/>
      <c r="H130" s="496"/>
      <c r="I130" s="528"/>
      <c r="J130" s="312">
        <v>12.891500000000001</v>
      </c>
    </row>
    <row r="131" spans="1:14" x14ac:dyDescent="0.25">
      <c r="A131" s="540"/>
      <c r="B131" s="499"/>
      <c r="C131" s="499"/>
      <c r="D131" s="537"/>
      <c r="E131" s="501"/>
      <c r="F131" s="335" t="s">
        <v>19</v>
      </c>
      <c r="G131" s="328"/>
      <c r="H131" s="501"/>
      <c r="I131" s="528"/>
      <c r="J131" s="388">
        <v>55</v>
      </c>
    </row>
    <row r="132" spans="1:14" ht="28.5" x14ac:dyDescent="0.25">
      <c r="A132" s="485" t="s">
        <v>98</v>
      </c>
      <c r="B132" s="485" t="s">
        <v>99</v>
      </c>
      <c r="C132" s="485" t="s">
        <v>100</v>
      </c>
      <c r="D132" s="485">
        <v>7619.37</v>
      </c>
      <c r="E132" s="496">
        <f>SUM(G132:G142)</f>
        <v>6681.628670000001</v>
      </c>
      <c r="F132" s="313" t="s">
        <v>101</v>
      </c>
      <c r="G132" s="311">
        <f>649436.5/1000</f>
        <v>649.43650000000002</v>
      </c>
      <c r="H132" s="488">
        <f>SUM(J132:J142)</f>
        <v>5833.6344871999991</v>
      </c>
      <c r="I132" s="488" t="s">
        <v>102</v>
      </c>
      <c r="J132" s="311">
        <f>2175878.11*1.18/1000</f>
        <v>2567.5361697999997</v>
      </c>
    </row>
    <row r="133" spans="1:14" ht="28.5" x14ac:dyDescent="0.25">
      <c r="A133" s="485"/>
      <c r="B133" s="485"/>
      <c r="C133" s="485"/>
      <c r="D133" s="485"/>
      <c r="E133" s="485"/>
      <c r="F133" s="313" t="s">
        <v>103</v>
      </c>
      <c r="G133" s="311">
        <f>198557.68/1000</f>
        <v>198.55768</v>
      </c>
      <c r="H133" s="488"/>
      <c r="I133" s="488"/>
      <c r="J133" s="311">
        <f>19222.141/1000</f>
        <v>19.222141000000001</v>
      </c>
    </row>
    <row r="134" spans="1:14" ht="28.5" x14ac:dyDescent="0.25">
      <c r="A134" s="485"/>
      <c r="B134" s="485"/>
      <c r="C134" s="485"/>
      <c r="D134" s="485"/>
      <c r="E134" s="485"/>
      <c r="F134" s="313" t="s">
        <v>104</v>
      </c>
      <c r="G134" s="311">
        <v>2586.7583100000002</v>
      </c>
      <c r="H134" s="488"/>
      <c r="I134" s="488" t="s">
        <v>105</v>
      </c>
      <c r="J134" s="311">
        <v>780.10994159999996</v>
      </c>
    </row>
    <row r="135" spans="1:14" ht="28.5" x14ac:dyDescent="0.25">
      <c r="A135" s="485"/>
      <c r="B135" s="485"/>
      <c r="C135" s="485"/>
      <c r="D135" s="485"/>
      <c r="E135" s="485"/>
      <c r="F135" s="313" t="s">
        <v>292</v>
      </c>
      <c r="G135" s="311">
        <v>2210.5563700000002</v>
      </c>
      <c r="H135" s="488"/>
      <c r="I135" s="488"/>
      <c r="J135" s="311">
        <v>62.646070199999997</v>
      </c>
    </row>
    <row r="136" spans="1:14" ht="42.75" x14ac:dyDescent="0.25">
      <c r="A136" s="485"/>
      <c r="B136" s="485"/>
      <c r="C136" s="485"/>
      <c r="D136" s="485"/>
      <c r="E136" s="485"/>
      <c r="F136" s="313" t="s">
        <v>309</v>
      </c>
      <c r="G136" s="310">
        <v>1036.31981</v>
      </c>
      <c r="H136" s="488"/>
      <c r="I136" s="310" t="s">
        <v>155</v>
      </c>
      <c r="J136" s="311">
        <v>107.57180899999999</v>
      </c>
      <c r="L136" s="236">
        <f>G135+G136+G146+G147+G153+G154+G155</f>
        <v>10966.184520000001</v>
      </c>
      <c r="N136" s="297">
        <f>E132-H132</f>
        <v>847.99418280000191</v>
      </c>
    </row>
    <row r="137" spans="1:14" x14ac:dyDescent="0.25">
      <c r="A137" s="485"/>
      <c r="B137" s="485"/>
      <c r="C137" s="485"/>
      <c r="D137" s="485"/>
      <c r="E137" s="485"/>
      <c r="F137" s="313" t="s">
        <v>19</v>
      </c>
      <c r="G137" s="313" t="s">
        <v>19</v>
      </c>
      <c r="H137" s="488"/>
      <c r="I137" s="488" t="s">
        <v>293</v>
      </c>
      <c r="J137" s="311">
        <v>1494.6780103999999</v>
      </c>
    </row>
    <row r="138" spans="1:14" x14ac:dyDescent="0.25">
      <c r="A138" s="485"/>
      <c r="B138" s="485"/>
      <c r="C138" s="485"/>
      <c r="D138" s="485"/>
      <c r="E138" s="485"/>
      <c r="F138" s="313" t="s">
        <v>19</v>
      </c>
      <c r="G138" s="313" t="s">
        <v>19</v>
      </c>
      <c r="H138" s="488"/>
      <c r="I138" s="488"/>
      <c r="J138" s="311">
        <v>164.55542499999999</v>
      </c>
    </row>
    <row r="139" spans="1:14" x14ac:dyDescent="0.25">
      <c r="A139" s="485"/>
      <c r="B139" s="485"/>
      <c r="C139" s="485"/>
      <c r="D139" s="485"/>
      <c r="E139" s="485"/>
      <c r="F139" s="313" t="s">
        <v>19</v>
      </c>
      <c r="G139" s="313" t="s">
        <v>19</v>
      </c>
      <c r="H139" s="488"/>
      <c r="I139" s="488"/>
      <c r="J139" s="311">
        <v>108.609737</v>
      </c>
    </row>
    <row r="140" spans="1:14" x14ac:dyDescent="0.25">
      <c r="A140" s="485"/>
      <c r="B140" s="485"/>
      <c r="C140" s="485"/>
      <c r="D140" s="485"/>
      <c r="E140" s="485"/>
      <c r="F140" s="313" t="s">
        <v>19</v>
      </c>
      <c r="G140" s="313" t="s">
        <v>19</v>
      </c>
      <c r="H140" s="488"/>
      <c r="I140" s="488"/>
      <c r="J140" s="311">
        <v>249.38254519999998</v>
      </c>
      <c r="L140" s="297">
        <f>G135+G146+G153+G154</f>
        <v>8177.7408599999999</v>
      </c>
    </row>
    <row r="141" spans="1:14" x14ac:dyDescent="0.25">
      <c r="A141" s="485"/>
      <c r="B141" s="485"/>
      <c r="C141" s="485"/>
      <c r="D141" s="485"/>
      <c r="E141" s="485"/>
      <c r="F141" s="313" t="s">
        <v>19</v>
      </c>
      <c r="G141" s="313" t="s">
        <v>19</v>
      </c>
      <c r="H141" s="488"/>
      <c r="I141" s="488"/>
      <c r="J141" s="311">
        <v>164.55542499999999</v>
      </c>
    </row>
    <row r="142" spans="1:14" x14ac:dyDescent="0.25">
      <c r="A142" s="485"/>
      <c r="B142" s="485"/>
      <c r="C142" s="485"/>
      <c r="D142" s="485"/>
      <c r="E142" s="485"/>
      <c r="F142" s="313" t="s">
        <v>19</v>
      </c>
      <c r="G142" s="313" t="s">
        <v>19</v>
      </c>
      <c r="H142" s="488"/>
      <c r="I142" s="488"/>
      <c r="J142" s="311">
        <v>114.767213</v>
      </c>
    </row>
    <row r="143" spans="1:14" ht="28.5" x14ac:dyDescent="0.25">
      <c r="A143" s="525" t="s">
        <v>106</v>
      </c>
      <c r="B143" s="526" t="s">
        <v>107</v>
      </c>
      <c r="C143" s="526" t="s">
        <v>108</v>
      </c>
      <c r="D143" s="526">
        <v>6769.35</v>
      </c>
      <c r="E143" s="527">
        <f>SUM(G143:G148)</f>
        <v>6611.7155000000002</v>
      </c>
      <c r="F143" s="341" t="s">
        <v>109</v>
      </c>
      <c r="G143" s="345">
        <f>79484.74/1000</f>
        <v>79.484740000000002</v>
      </c>
      <c r="H143" s="526">
        <f>SUM(J143:J148)</f>
        <v>5835.1024897999996</v>
      </c>
      <c r="I143" s="528" t="s">
        <v>102</v>
      </c>
      <c r="J143" s="346">
        <f>1651360.6*1.18/1000</f>
        <v>1948.6055079999999</v>
      </c>
    </row>
    <row r="144" spans="1:14" ht="28.5" x14ac:dyDescent="0.25">
      <c r="A144" s="525"/>
      <c r="B144" s="526"/>
      <c r="C144" s="526"/>
      <c r="D144" s="526"/>
      <c r="E144" s="527"/>
      <c r="F144" s="341" t="s">
        <v>110</v>
      </c>
      <c r="G144" s="345">
        <f>697128.27/1000</f>
        <v>697.12827000000004</v>
      </c>
      <c r="H144" s="526"/>
      <c r="I144" s="529"/>
      <c r="J144" s="346">
        <f>58658.744/1000</f>
        <v>58.658743999999999</v>
      </c>
    </row>
    <row r="145" spans="1:10" ht="28.5" x14ac:dyDescent="0.25">
      <c r="A145" s="525"/>
      <c r="B145" s="526"/>
      <c r="C145" s="526"/>
      <c r="D145" s="526"/>
      <c r="E145" s="527"/>
      <c r="F145" s="341" t="s">
        <v>111</v>
      </c>
      <c r="G145" s="345">
        <v>2007.2642499999999</v>
      </c>
      <c r="H145" s="526"/>
      <c r="I145" s="310" t="s">
        <v>19</v>
      </c>
      <c r="J145" s="348" t="s">
        <v>19</v>
      </c>
    </row>
    <row r="146" spans="1:10" ht="28.5" x14ac:dyDescent="0.25">
      <c r="A146" s="525"/>
      <c r="B146" s="526"/>
      <c r="C146" s="526"/>
      <c r="D146" s="526"/>
      <c r="E146" s="527"/>
      <c r="F146" s="341" t="s">
        <v>294</v>
      </c>
      <c r="G146" s="311">
        <v>2966.1713399999999</v>
      </c>
      <c r="H146" s="526"/>
      <c r="I146" s="343" t="s">
        <v>155</v>
      </c>
      <c r="J146" s="346">
        <v>228.97817399999997</v>
      </c>
    </row>
    <row r="147" spans="1:10" ht="42.75" x14ac:dyDescent="0.25">
      <c r="A147" s="525"/>
      <c r="B147" s="526"/>
      <c r="C147" s="526"/>
      <c r="D147" s="526"/>
      <c r="E147" s="527"/>
      <c r="F147" s="341" t="s">
        <v>307</v>
      </c>
      <c r="G147" s="311">
        <v>861.66690000000006</v>
      </c>
      <c r="H147" s="526"/>
      <c r="I147" s="343" t="s">
        <v>155</v>
      </c>
      <c r="J147" s="346">
        <v>1916.5643189999998</v>
      </c>
    </row>
    <row r="148" spans="1:10" ht="29.25" thickBot="1" x14ac:dyDescent="0.3">
      <c r="A148" s="525"/>
      <c r="B148" s="526"/>
      <c r="C148" s="526"/>
      <c r="D148" s="526"/>
      <c r="E148" s="527"/>
      <c r="F148" s="349" t="s">
        <v>19</v>
      </c>
      <c r="G148" s="350" t="s">
        <v>19</v>
      </c>
      <c r="H148" s="526"/>
      <c r="I148" s="347" t="s">
        <v>212</v>
      </c>
      <c r="J148" s="351">
        <v>1682.2957448</v>
      </c>
    </row>
    <row r="149" spans="1:10" ht="42.75" x14ac:dyDescent="0.25">
      <c r="A149" s="482" t="s">
        <v>112</v>
      </c>
      <c r="B149" s="331" t="s">
        <v>113</v>
      </c>
      <c r="C149" s="331" t="s">
        <v>114</v>
      </c>
      <c r="D149" s="298">
        <f>12730535.39/1000</f>
        <v>12730.535390000001</v>
      </c>
      <c r="E149" s="299">
        <f>SUM(G149:G149)</f>
        <v>3384.1592099999998</v>
      </c>
      <c r="F149" s="331" t="s">
        <v>115</v>
      </c>
      <c r="G149" s="298">
        <f>3384159.21/1000</f>
        <v>3384.1592099999998</v>
      </c>
      <c r="H149" s="299">
        <f>SUM(J149:J149)</f>
        <v>0</v>
      </c>
      <c r="I149" s="298" t="s">
        <v>19</v>
      </c>
      <c r="J149" s="336" t="s">
        <v>19</v>
      </c>
    </row>
    <row r="150" spans="1:10" ht="63" customHeight="1" x14ac:dyDescent="0.25">
      <c r="A150" s="489"/>
      <c r="B150" s="313" t="s">
        <v>113</v>
      </c>
      <c r="C150" s="313" t="s">
        <v>116</v>
      </c>
      <c r="D150" s="310">
        <v>19677.026999999998</v>
      </c>
      <c r="E150" s="311">
        <f>SUM(G150:G150)</f>
        <v>7747.4874499999996</v>
      </c>
      <c r="F150" s="313" t="s">
        <v>117</v>
      </c>
      <c r="G150" s="310">
        <v>7747.4874499999996</v>
      </c>
      <c r="H150" s="311">
        <f>SUM(J150:J150)</f>
        <v>0</v>
      </c>
      <c r="I150" s="310" t="s">
        <v>19</v>
      </c>
      <c r="J150" s="326" t="s">
        <v>19</v>
      </c>
    </row>
    <row r="151" spans="1:10" ht="28.5" x14ac:dyDescent="0.25">
      <c r="A151" s="489"/>
      <c r="B151" s="488" t="s">
        <v>107</v>
      </c>
      <c r="C151" s="488" t="s">
        <v>152</v>
      </c>
      <c r="D151" s="488">
        <v>6856.6313499999997</v>
      </c>
      <c r="E151" s="488">
        <f>SUM(G151:G155)</f>
        <v>6579.8850499999999</v>
      </c>
      <c r="F151" s="313" t="s">
        <v>193</v>
      </c>
      <c r="G151" s="310">
        <f>2437856.31/1000</f>
        <v>2437.8563100000001</v>
      </c>
      <c r="H151" s="496">
        <f>SUM(J151:J155)</f>
        <v>6579.8850367999994</v>
      </c>
      <c r="I151" s="310" t="s">
        <v>154</v>
      </c>
      <c r="J151" s="312">
        <v>250.55863939999998</v>
      </c>
    </row>
    <row r="152" spans="1:10" ht="28.5" x14ac:dyDescent="0.25">
      <c r="A152" s="489"/>
      <c r="B152" s="488"/>
      <c r="C152" s="488"/>
      <c r="D152" s="488"/>
      <c r="E152" s="488"/>
      <c r="F152" s="313" t="s">
        <v>192</v>
      </c>
      <c r="G152" s="310">
        <f>250558.64/1000</f>
        <v>250.55864000000003</v>
      </c>
      <c r="H152" s="496"/>
      <c r="I152" s="310" t="s">
        <v>153</v>
      </c>
      <c r="J152" s="312">
        <v>2437.8563055999998</v>
      </c>
    </row>
    <row r="153" spans="1:10" ht="28.5" x14ac:dyDescent="0.25">
      <c r="A153" s="489"/>
      <c r="B153" s="488"/>
      <c r="C153" s="488"/>
      <c r="D153" s="488"/>
      <c r="E153" s="488"/>
      <c r="F153" s="313" t="s">
        <v>295</v>
      </c>
      <c r="G153" s="310">
        <v>1955.12644</v>
      </c>
      <c r="H153" s="496"/>
      <c r="I153" s="310" t="s">
        <v>172</v>
      </c>
      <c r="J153" s="312">
        <f>(1656886.81/1000)*1.18</f>
        <v>1955.1264357999999</v>
      </c>
    </row>
    <row r="154" spans="1:10" ht="28.5" x14ac:dyDescent="0.25">
      <c r="A154" s="489"/>
      <c r="B154" s="488"/>
      <c r="C154" s="488"/>
      <c r="D154" s="488"/>
      <c r="E154" s="488"/>
      <c r="F154" s="313" t="s">
        <v>296</v>
      </c>
      <c r="G154" s="310">
        <v>1045.88671</v>
      </c>
      <c r="H154" s="496"/>
      <c r="I154" s="310" t="s">
        <v>216</v>
      </c>
      <c r="J154" s="312">
        <v>1936.343656</v>
      </c>
    </row>
    <row r="155" spans="1:10" ht="43.5" thickBot="1" x14ac:dyDescent="0.3">
      <c r="A155" s="483"/>
      <c r="B155" s="523"/>
      <c r="C155" s="523"/>
      <c r="D155" s="523"/>
      <c r="E155" s="523"/>
      <c r="F155" s="314" t="s">
        <v>308</v>
      </c>
      <c r="G155" s="301">
        <v>890.45695000000001</v>
      </c>
      <c r="H155" s="302"/>
      <c r="I155" s="301"/>
      <c r="J155" s="303"/>
    </row>
    <row r="156" spans="1:10" ht="28.5" x14ac:dyDescent="0.25">
      <c r="A156" s="517" t="s">
        <v>118</v>
      </c>
      <c r="B156" s="519" t="s">
        <v>119</v>
      </c>
      <c r="C156" s="519" t="s">
        <v>120</v>
      </c>
      <c r="D156" s="521">
        <v>5063.8999999999996</v>
      </c>
      <c r="E156" s="521">
        <f>SUM(G156:G157)</f>
        <v>4169.2383799999998</v>
      </c>
      <c r="F156" s="341" t="s">
        <v>121</v>
      </c>
      <c r="G156" s="342">
        <f>3215238.38/1000</f>
        <v>3215.2383799999998</v>
      </c>
      <c r="H156" s="521">
        <f>SUM(J156:J157)</f>
        <v>0</v>
      </c>
      <c r="I156" s="343" t="s">
        <v>19</v>
      </c>
      <c r="J156" s="353" t="s">
        <v>19</v>
      </c>
    </row>
    <row r="157" spans="1:10" ht="29.25" thickBot="1" x14ac:dyDescent="0.3">
      <c r="A157" s="518"/>
      <c r="B157" s="520"/>
      <c r="C157" s="520"/>
      <c r="D157" s="522"/>
      <c r="E157" s="522"/>
      <c r="F157" s="354" t="s">
        <v>122</v>
      </c>
      <c r="G157" s="319">
        <f>954000/1000</f>
        <v>954</v>
      </c>
      <c r="H157" s="522"/>
      <c r="I157" s="301" t="s">
        <v>19</v>
      </c>
      <c r="J157" s="355" t="s">
        <v>19</v>
      </c>
    </row>
    <row r="158" spans="1:10" s="8" customFormat="1" ht="29.25" thickBot="1" x14ac:dyDescent="0.3">
      <c r="A158" s="356" t="s">
        <v>123</v>
      </c>
      <c r="B158" s="357" t="s">
        <v>124</v>
      </c>
      <c r="C158" s="358" t="s">
        <v>125</v>
      </c>
      <c r="D158" s="359">
        <v>692.40700000000004</v>
      </c>
      <c r="E158" s="359">
        <f>SUM(G158:G158)</f>
        <v>344.08287999999999</v>
      </c>
      <c r="F158" s="331" t="s">
        <v>126</v>
      </c>
      <c r="G158" s="299">
        <f>344082.88/1000</f>
        <v>344.08287999999999</v>
      </c>
      <c r="H158" s="359">
        <f>SUM(J158:J158)</f>
        <v>0</v>
      </c>
      <c r="I158" s="331" t="s">
        <v>19</v>
      </c>
      <c r="J158" s="336" t="s">
        <v>19</v>
      </c>
    </row>
    <row r="159" spans="1:10" s="8" customFormat="1" ht="15.75" thickBot="1" x14ac:dyDescent="0.3">
      <c r="A159" s="321" t="s">
        <v>127</v>
      </c>
      <c r="B159" s="322"/>
      <c r="C159" s="322"/>
      <c r="D159" s="322"/>
      <c r="E159" s="323">
        <f>SUM(E32:E158)</f>
        <v>233182.76030740008</v>
      </c>
      <c r="F159" s="306"/>
      <c r="G159" s="323">
        <f>SUM(G32:G158)</f>
        <v>233182.76030740005</v>
      </c>
      <c r="H159" s="323">
        <f>SUM(H32:H158)</f>
        <v>161184.83759899999</v>
      </c>
      <c r="I159" s="306"/>
      <c r="J159" s="324">
        <f>SUM(J32:J158)</f>
        <v>161184.83759899999</v>
      </c>
    </row>
    <row r="160" spans="1:10" s="8" customFormat="1" ht="30.75" thickBot="1" x14ac:dyDescent="0.3">
      <c r="A160" s="321" t="s">
        <v>128</v>
      </c>
      <c r="B160" s="322"/>
      <c r="C160" s="322"/>
      <c r="D160" s="322"/>
      <c r="E160" s="323">
        <f>G160</f>
        <v>24247.430694948256</v>
      </c>
      <c r="F160" s="306"/>
      <c r="G160" s="323">
        <f>J160</f>
        <v>24247.430694948256</v>
      </c>
      <c r="H160" s="323">
        <f>J160</f>
        <v>24247.430694948256</v>
      </c>
      <c r="I160" s="306"/>
      <c r="J160" s="324">
        <v>24247.430694948256</v>
      </c>
    </row>
    <row r="161" spans="1:10" s="8" customFormat="1" ht="30.75" thickBot="1" x14ac:dyDescent="0.3">
      <c r="A161" s="321" t="s">
        <v>129</v>
      </c>
      <c r="B161" s="322"/>
      <c r="C161" s="322"/>
      <c r="D161" s="322"/>
      <c r="E161" s="323">
        <f>E159+E160</f>
        <v>257430.19100234832</v>
      </c>
      <c r="F161" s="306"/>
      <c r="G161" s="323">
        <f>G159+G160</f>
        <v>257430.19100234832</v>
      </c>
      <c r="H161" s="323">
        <f>H159+H160</f>
        <v>185432.26829394826</v>
      </c>
      <c r="I161" s="306"/>
      <c r="J161" s="324">
        <f>J159+J160</f>
        <v>185432.26829394826</v>
      </c>
    </row>
    <row r="162" spans="1:10" s="8" customFormat="1" ht="45.75" thickBot="1" x14ac:dyDescent="0.3">
      <c r="A162" s="321" t="s">
        <v>130</v>
      </c>
      <c r="B162" s="322"/>
      <c r="C162" s="322"/>
      <c r="D162" s="322"/>
      <c r="E162" s="323">
        <f>E30+E161</f>
        <v>316748.37972501386</v>
      </c>
      <c r="F162" s="306"/>
      <c r="G162" s="323">
        <f>G30+G161</f>
        <v>316748.37972501386</v>
      </c>
      <c r="H162" s="323">
        <f>H30+H161</f>
        <v>191142.00564101382</v>
      </c>
      <c r="I162" s="306"/>
      <c r="J162" s="324">
        <f>J30+J161</f>
        <v>191142.00564101382</v>
      </c>
    </row>
    <row r="163" spans="1:10" s="8" customFormat="1" x14ac:dyDescent="0.25">
      <c r="A163" s="360"/>
      <c r="B163" s="360"/>
      <c r="C163" s="360"/>
      <c r="D163" s="360"/>
      <c r="E163" s="361"/>
      <c r="F163" s="362"/>
      <c r="G163" s="361"/>
      <c r="H163" s="361"/>
      <c r="I163" s="362"/>
      <c r="J163" s="361"/>
    </row>
    <row r="164" spans="1:10" s="8" customFormat="1" x14ac:dyDescent="0.25">
      <c r="A164" s="360"/>
      <c r="B164" s="360"/>
      <c r="C164" s="360"/>
      <c r="D164" s="360"/>
      <c r="E164" s="361"/>
      <c r="F164" s="362"/>
      <c r="G164" s="361"/>
      <c r="H164" s="361"/>
      <c r="I164" s="362"/>
      <c r="J164" s="361"/>
    </row>
    <row r="165" spans="1:10" x14ac:dyDescent="0.25">
      <c r="E165" s="211"/>
      <c r="H165" s="211"/>
    </row>
    <row r="166" spans="1:10" x14ac:dyDescent="0.25">
      <c r="A166" s="509" t="s">
        <v>270</v>
      </c>
      <c r="B166" s="509"/>
      <c r="C166" s="509"/>
      <c r="D166" s="510"/>
      <c r="E166" s="511"/>
      <c r="H166" s="387"/>
    </row>
    <row r="167" spans="1:10" x14ac:dyDescent="0.25">
      <c r="A167" s="512" t="s">
        <v>132</v>
      </c>
      <c r="B167" s="512"/>
      <c r="C167" s="512"/>
      <c r="D167" s="513"/>
      <c r="E167" s="513"/>
    </row>
    <row r="168" spans="1:10" x14ac:dyDescent="0.25">
      <c r="A168" s="512" t="s">
        <v>133</v>
      </c>
      <c r="B168" s="512"/>
      <c r="C168" s="512"/>
      <c r="D168" s="512"/>
      <c r="E168" s="363"/>
      <c r="G168" s="140"/>
    </row>
    <row r="169" spans="1:10" ht="15.75" thickBot="1" x14ac:dyDescent="0.3">
      <c r="A169" s="364"/>
      <c r="B169" s="364"/>
      <c r="C169" s="514"/>
      <c r="D169" s="514"/>
      <c r="E169" s="363"/>
      <c r="F169" s="365"/>
      <c r="G169" s="365"/>
    </row>
    <row r="170" spans="1:10" ht="15.75" thickBot="1" x14ac:dyDescent="0.3">
      <c r="A170" s="366" t="s">
        <v>134</v>
      </c>
      <c r="B170" s="367" t="s">
        <v>135</v>
      </c>
      <c r="C170" s="504" t="s">
        <v>136</v>
      </c>
      <c r="D170" s="505"/>
      <c r="E170" s="363"/>
      <c r="F170" s="365"/>
      <c r="G170" s="365"/>
    </row>
    <row r="171" spans="1:10" ht="15.75" thickBot="1" x14ac:dyDescent="0.3">
      <c r="A171" s="368"/>
      <c r="B171" s="369"/>
      <c r="C171" s="504"/>
      <c r="D171" s="505"/>
      <c r="E171" s="363"/>
      <c r="F171" s="365"/>
      <c r="G171" s="365"/>
    </row>
    <row r="172" spans="1:10" ht="29.25" thickBot="1" x14ac:dyDescent="0.3">
      <c r="A172" s="370" t="s">
        <v>137</v>
      </c>
      <c r="B172" s="371">
        <v>191142.00564101382</v>
      </c>
      <c r="C172" s="506">
        <v>316748.38</v>
      </c>
      <c r="D172" s="507"/>
      <c r="E172" s="365"/>
      <c r="F172" s="365"/>
      <c r="G172" s="365"/>
      <c r="H172" s="365"/>
      <c r="I172" s="365"/>
      <c r="J172" s="372"/>
    </row>
    <row r="173" spans="1:10" ht="15.75" thickBot="1" x14ac:dyDescent="0.3">
      <c r="A173" s="370" t="s">
        <v>138</v>
      </c>
      <c r="B173" s="371">
        <v>244408.15</v>
      </c>
      <c r="C173" s="506">
        <v>244408.15</v>
      </c>
      <c r="D173" s="507"/>
      <c r="E173" s="365"/>
      <c r="F173" s="365"/>
      <c r="G173" s="365"/>
      <c r="H173" s="365"/>
      <c r="I173" s="365"/>
      <c r="J173" s="372"/>
    </row>
    <row r="174" spans="1:10" ht="29.25" thickBot="1" x14ac:dyDescent="0.3">
      <c r="A174" s="370" t="s">
        <v>139</v>
      </c>
      <c r="B174" s="371">
        <v>93195.35</v>
      </c>
      <c r="C174" s="506">
        <v>93183.88</v>
      </c>
      <c r="D174" s="507"/>
      <c r="E174" s="365"/>
      <c r="F174" s="365"/>
      <c r="G174" s="365"/>
      <c r="H174" s="365"/>
      <c r="I174" s="365"/>
      <c r="J174" s="372"/>
    </row>
    <row r="175" spans="1:10" ht="15.75" thickBot="1" x14ac:dyDescent="0.3">
      <c r="A175" s="373" t="s">
        <v>140</v>
      </c>
      <c r="B175" s="374">
        <v>1161.73</v>
      </c>
      <c r="C175" s="502">
        <v>1412.57</v>
      </c>
      <c r="D175" s="508"/>
      <c r="E175" s="365"/>
      <c r="F175" s="365"/>
      <c r="G175" s="365"/>
      <c r="H175" s="365"/>
      <c r="I175" s="365"/>
      <c r="J175" s="372"/>
    </row>
    <row r="176" spans="1:10" ht="15.75" thickBot="1" x14ac:dyDescent="0.3">
      <c r="A176" s="373" t="s">
        <v>141</v>
      </c>
      <c r="B176" s="375">
        <v>92033.63</v>
      </c>
      <c r="C176" s="502">
        <v>91771.31</v>
      </c>
      <c r="D176" s="503"/>
      <c r="E176" s="365"/>
      <c r="F176" s="365"/>
      <c r="G176" s="365"/>
      <c r="H176" s="365"/>
      <c r="I176" s="365"/>
      <c r="J176" s="372"/>
    </row>
    <row r="177" spans="1:13" ht="72" thickBot="1" x14ac:dyDescent="0.3">
      <c r="A177" s="370" t="s">
        <v>147</v>
      </c>
      <c r="B177" s="376">
        <v>313488.53000000003</v>
      </c>
      <c r="C177" s="515">
        <v>302885.82</v>
      </c>
      <c r="D177" s="516"/>
      <c r="E177" s="365"/>
      <c r="F177" s="365"/>
      <c r="G177" s="365"/>
      <c r="H177" s="365"/>
      <c r="I177" s="365"/>
      <c r="J177" s="372"/>
    </row>
    <row r="178" spans="1:13" ht="29.25" thickBot="1" x14ac:dyDescent="0.3">
      <c r="A178" s="370" t="s">
        <v>143</v>
      </c>
      <c r="B178" s="371">
        <v>2684.24</v>
      </c>
      <c r="C178" s="506">
        <v>2684.24</v>
      </c>
      <c r="D178" s="507"/>
      <c r="E178" s="365"/>
      <c r="F178" s="365"/>
      <c r="G178" s="365"/>
      <c r="H178" s="365"/>
      <c r="I178" s="365"/>
      <c r="J178" s="372"/>
    </row>
    <row r="179" spans="1:13" ht="43.5" thickBot="1" x14ac:dyDescent="0.3">
      <c r="A179" s="370" t="s">
        <v>144</v>
      </c>
      <c r="B179" s="371">
        <v>21366.33</v>
      </c>
      <c r="C179" s="506">
        <v>-12469.98</v>
      </c>
      <c r="D179" s="507"/>
      <c r="E179" s="365"/>
      <c r="F179" s="365"/>
      <c r="G179" s="365"/>
      <c r="H179" s="365"/>
      <c r="I179" s="365"/>
      <c r="J179" s="372"/>
    </row>
    <row r="180" spans="1:13" ht="29.25" thickBot="1" x14ac:dyDescent="0.3">
      <c r="A180" s="373" t="s">
        <v>145</v>
      </c>
      <c r="B180" s="375">
        <v>26453.96</v>
      </c>
      <c r="C180" s="502">
        <v>60290.26</v>
      </c>
      <c r="D180" s="503"/>
      <c r="E180" s="365"/>
      <c r="F180" s="365"/>
      <c r="G180" s="365"/>
      <c r="H180" s="365"/>
      <c r="I180" s="365"/>
      <c r="J180" s="372"/>
    </row>
    <row r="181" spans="1:13" ht="24" customHeight="1" thickBot="1" x14ac:dyDescent="0.3">
      <c r="A181" s="373" t="s">
        <v>146</v>
      </c>
      <c r="B181" s="375">
        <v>47820.28</v>
      </c>
      <c r="C181" s="502">
        <v>47820.28</v>
      </c>
      <c r="D181" s="503"/>
      <c r="E181" s="365"/>
      <c r="F181" s="365"/>
      <c r="G181" s="365"/>
      <c r="H181" s="365"/>
      <c r="I181" s="365"/>
      <c r="J181" s="372"/>
    </row>
    <row r="182" spans="1:13" x14ac:dyDescent="0.25">
      <c r="B182" s="211"/>
      <c r="D182" s="211"/>
      <c r="E182" s="365"/>
      <c r="F182" s="365"/>
      <c r="G182" s="365"/>
      <c r="H182" s="365"/>
      <c r="I182" s="365"/>
      <c r="J182" s="372"/>
    </row>
    <row r="183" spans="1:13" x14ac:dyDescent="0.25">
      <c r="E183" s="365"/>
      <c r="F183" s="365"/>
      <c r="G183" s="365"/>
      <c r="H183" s="365"/>
      <c r="I183" s="365"/>
    </row>
    <row r="184" spans="1:13" ht="48" customHeight="1" x14ac:dyDescent="0.25">
      <c r="A184" s="377" t="s">
        <v>148</v>
      </c>
      <c r="B184" s="378"/>
      <c r="C184" s="372"/>
      <c r="D184" s="372"/>
      <c r="E184" s="379" t="s">
        <v>149</v>
      </c>
      <c r="G184" s="372"/>
      <c r="J184" s="1"/>
    </row>
    <row r="185" spans="1:13" x14ac:dyDescent="0.25">
      <c r="A185" s="377"/>
      <c r="B185" s="379"/>
      <c r="C185" s="379"/>
      <c r="G185" s="372"/>
      <c r="J185" s="1"/>
    </row>
    <row r="186" spans="1:13" x14ac:dyDescent="0.25">
      <c r="A186" s="377"/>
      <c r="B186" s="379"/>
      <c r="C186" s="379"/>
      <c r="G186" s="372"/>
      <c r="J186" s="1"/>
    </row>
    <row r="187" spans="1:13" x14ac:dyDescent="0.25">
      <c r="A187" s="377"/>
      <c r="B187" s="379"/>
      <c r="C187" s="379"/>
      <c r="G187" s="372"/>
      <c r="J187" s="1"/>
    </row>
    <row r="188" spans="1:13" x14ac:dyDescent="0.25">
      <c r="A188" s="377"/>
      <c r="B188" s="379"/>
      <c r="C188" s="379"/>
      <c r="G188" s="372"/>
      <c r="J188" s="1"/>
    </row>
    <row r="189" spans="1:13" ht="44.25" customHeight="1" x14ac:dyDescent="0.25">
      <c r="A189" s="377" t="s">
        <v>150</v>
      </c>
      <c r="B189" s="379"/>
      <c r="C189" s="372"/>
      <c r="D189" s="372"/>
      <c r="E189" s="379" t="s">
        <v>151</v>
      </c>
      <c r="G189" s="372"/>
      <c r="J189" s="1"/>
      <c r="M189" s="227" t="s">
        <v>221</v>
      </c>
    </row>
  </sheetData>
  <mergeCells count="160">
    <mergeCell ref="H110:H111"/>
    <mergeCell ref="B75:C75"/>
    <mergeCell ref="B59:B73"/>
    <mergeCell ref="B76:C76"/>
    <mergeCell ref="B77:C77"/>
    <mergeCell ref="B78:C78"/>
    <mergeCell ref="H49:H56"/>
    <mergeCell ref="A88:A94"/>
    <mergeCell ref="D107:D108"/>
    <mergeCell ref="E83:E85"/>
    <mergeCell ref="B83:B85"/>
    <mergeCell ref="C83:C85"/>
    <mergeCell ref="D83:D85"/>
    <mergeCell ref="C59:C63"/>
    <mergeCell ref="D59:D63"/>
    <mergeCell ref="C64:C73"/>
    <mergeCell ref="D64:D73"/>
    <mergeCell ref="A83:A87"/>
    <mergeCell ref="A49:A78"/>
    <mergeCell ref="A143:A148"/>
    <mergeCell ref="B143:B148"/>
    <mergeCell ref="C143:C148"/>
    <mergeCell ref="D143:D148"/>
    <mergeCell ref="E143:E148"/>
    <mergeCell ref="H143:H148"/>
    <mergeCell ref="I143:I144"/>
    <mergeCell ref="H132:H142"/>
    <mergeCell ref="A132:A142"/>
    <mergeCell ref="B132:B142"/>
    <mergeCell ref="I137:I142"/>
    <mergeCell ref="B124:C124"/>
    <mergeCell ref="B125:C125"/>
    <mergeCell ref="B126:C126"/>
    <mergeCell ref="B127:C127"/>
    <mergeCell ref="A112:A127"/>
    <mergeCell ref="B112:B123"/>
    <mergeCell ref="C112:C123"/>
    <mergeCell ref="D112:D123"/>
    <mergeCell ref="E112:E123"/>
    <mergeCell ref="H112:H123"/>
    <mergeCell ref="I132:I133"/>
    <mergeCell ref="I134:I135"/>
    <mergeCell ref="H128:H131"/>
    <mergeCell ref="D128:D131"/>
    <mergeCell ref="B128:B131"/>
    <mergeCell ref="C128:C131"/>
    <mergeCell ref="A128:A131"/>
    <mergeCell ref="E128:E131"/>
    <mergeCell ref="I129:I131"/>
    <mergeCell ref="A156:A157"/>
    <mergeCell ref="B156:B157"/>
    <mergeCell ref="C156:C157"/>
    <mergeCell ref="D156:D157"/>
    <mergeCell ref="E156:E157"/>
    <mergeCell ref="H156:H157"/>
    <mergeCell ref="H151:H154"/>
    <mergeCell ref="A149:A155"/>
    <mergeCell ref="B151:B155"/>
    <mergeCell ref="C151:C155"/>
    <mergeCell ref="D151:D155"/>
    <mergeCell ref="E151:E155"/>
    <mergeCell ref="C181:D181"/>
    <mergeCell ref="C170:D170"/>
    <mergeCell ref="C171:D171"/>
    <mergeCell ref="C172:D172"/>
    <mergeCell ref="C173:D173"/>
    <mergeCell ref="C174:D174"/>
    <mergeCell ref="C175:D175"/>
    <mergeCell ref="A166:C166"/>
    <mergeCell ref="D166:E166"/>
    <mergeCell ref="A167:C167"/>
    <mergeCell ref="D167:E167"/>
    <mergeCell ref="A168:D168"/>
    <mergeCell ref="C169:D169"/>
    <mergeCell ref="C176:D176"/>
    <mergeCell ref="C177:D177"/>
    <mergeCell ref="C178:D178"/>
    <mergeCell ref="C179:D179"/>
    <mergeCell ref="C180:D180"/>
    <mergeCell ref="C132:C142"/>
    <mergeCell ref="D132:D142"/>
    <mergeCell ref="E132:E142"/>
    <mergeCell ref="A110:A111"/>
    <mergeCell ref="B110:B111"/>
    <mergeCell ref="C110:C111"/>
    <mergeCell ref="A95:A99"/>
    <mergeCell ref="B97:B99"/>
    <mergeCell ref="C97:C99"/>
    <mergeCell ref="D97:D99"/>
    <mergeCell ref="E97:E99"/>
    <mergeCell ref="A101:A109"/>
    <mergeCell ref="B109:C109"/>
    <mergeCell ref="E104:E106"/>
    <mergeCell ref="B104:B106"/>
    <mergeCell ref="C104:C106"/>
    <mergeCell ref="D104:D106"/>
    <mergeCell ref="E107:E108"/>
    <mergeCell ref="B107:B108"/>
    <mergeCell ref="C107:C108"/>
    <mergeCell ref="D110:D111"/>
    <mergeCell ref="E110:E111"/>
    <mergeCell ref="H15:H17"/>
    <mergeCell ref="E15:E17"/>
    <mergeCell ref="D15:D17"/>
    <mergeCell ref="H83:H85"/>
    <mergeCell ref="B86:C86"/>
    <mergeCell ref="H59:H73"/>
    <mergeCell ref="F62:F63"/>
    <mergeCell ref="H18:H21"/>
    <mergeCell ref="H32:H46"/>
    <mergeCell ref="B74:C74"/>
    <mergeCell ref="B58:C58"/>
    <mergeCell ref="B57:C57"/>
    <mergeCell ref="B47:C47"/>
    <mergeCell ref="E59:E73"/>
    <mergeCell ref="B18:B21"/>
    <mergeCell ref="C18:C21"/>
    <mergeCell ref="D18:D21"/>
    <mergeCell ref="E18:E21"/>
    <mergeCell ref="B24:C24"/>
    <mergeCell ref="A31:J31"/>
    <mergeCell ref="A80:A82"/>
    <mergeCell ref="A32:A47"/>
    <mergeCell ref="F9:F10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J9:J10"/>
    <mergeCell ref="H9:H10"/>
    <mergeCell ref="I9:I10"/>
    <mergeCell ref="G9:G10"/>
    <mergeCell ref="A8:J8"/>
    <mergeCell ref="B49:B56"/>
    <mergeCell ref="C49:C56"/>
    <mergeCell ref="D49:D56"/>
    <mergeCell ref="E49:E56"/>
    <mergeCell ref="A9:A10"/>
    <mergeCell ref="B9:B10"/>
    <mergeCell ref="C9:C10"/>
    <mergeCell ref="D9:D10"/>
    <mergeCell ref="E9:E10"/>
    <mergeCell ref="D11:D12"/>
    <mergeCell ref="E11:E12"/>
    <mergeCell ref="A15:A25"/>
    <mergeCell ref="A11:A12"/>
    <mergeCell ref="C15:C17"/>
    <mergeCell ref="B15:B17"/>
    <mergeCell ref="B11:B12"/>
    <mergeCell ref="C11:C12"/>
    <mergeCell ref="B32:B46"/>
    <mergeCell ref="C32:C46"/>
    <mergeCell ref="D32:D46"/>
    <mergeCell ref="E32:E46"/>
  </mergeCells>
  <pageMargins left="0" right="0" top="0" bottom="0" header="0" footer="0"/>
  <pageSetup paperSize="9" scale="48" fitToHeight="0" orientation="portrait" r:id="rId1"/>
  <rowBreaks count="2" manualBreakCount="2">
    <brk id="100" max="9" man="1"/>
    <brk id="155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133"/>
  <sheetViews>
    <sheetView view="pageBreakPreview" topLeftCell="A103" zoomScale="85" zoomScaleNormal="85" zoomScaleSheetLayoutView="85" zoomScalePageLayoutView="40" workbookViewId="0">
      <selection activeCell="E108" sqref="E108"/>
    </sheetView>
  </sheetViews>
  <sheetFormatPr defaultRowHeight="15" x14ac:dyDescent="0.25"/>
  <cols>
    <col min="1" max="1" width="48.42578125" style="8" customWidth="1"/>
    <col min="2" max="2" width="23.7109375" style="1" customWidth="1"/>
    <col min="3" max="3" width="14.85546875" style="1" customWidth="1"/>
    <col min="4" max="4" width="17.7109375" style="1" customWidth="1"/>
    <col min="5" max="5" width="18.42578125" style="1" customWidth="1"/>
    <col min="6" max="6" width="17" style="1" customWidth="1"/>
    <col min="7" max="7" width="16.7109375" style="1" customWidth="1"/>
    <col min="8" max="8" width="19.85546875" style="1" customWidth="1"/>
    <col min="9" max="9" width="18" style="1" customWidth="1"/>
    <col min="10" max="10" width="17" style="140" customWidth="1"/>
    <col min="11" max="16384" width="9.140625" style="7"/>
  </cols>
  <sheetData>
    <row r="1" spans="1:13" ht="28.5" customHeight="1" x14ac:dyDescent="0.25">
      <c r="A1" s="1"/>
      <c r="F1" s="3"/>
      <c r="G1" s="4"/>
      <c r="H1" s="5"/>
      <c r="I1" s="4"/>
      <c r="J1" s="4"/>
    </row>
    <row r="2" spans="1:13" ht="15.75" x14ac:dyDescent="0.25">
      <c r="A2" s="467" t="s">
        <v>0</v>
      </c>
      <c r="B2" s="467"/>
      <c r="C2" s="467"/>
      <c r="D2" s="467"/>
      <c r="E2" s="467"/>
      <c r="F2" s="467"/>
      <c r="G2" s="467"/>
      <c r="H2" s="467"/>
      <c r="I2" s="467"/>
      <c r="J2" s="467"/>
    </row>
    <row r="3" spans="1:13" ht="15.75" x14ac:dyDescent="0.25">
      <c r="A3" s="468" t="s">
        <v>1</v>
      </c>
      <c r="B3" s="468"/>
      <c r="C3" s="468"/>
      <c r="D3" s="468"/>
      <c r="E3" s="468"/>
      <c r="F3" s="468"/>
      <c r="G3" s="468"/>
      <c r="H3" s="468"/>
      <c r="I3" s="468"/>
      <c r="J3" s="468"/>
    </row>
    <row r="4" spans="1:13" ht="15.75" x14ac:dyDescent="0.25">
      <c r="A4" s="469" t="s">
        <v>200</v>
      </c>
      <c r="B4" s="469"/>
      <c r="C4" s="469"/>
      <c r="D4" s="469"/>
      <c r="E4" s="469"/>
      <c r="F4" s="469"/>
      <c r="G4" s="469"/>
      <c r="H4" s="469"/>
      <c r="I4" s="469"/>
      <c r="J4" s="469"/>
    </row>
    <row r="5" spans="1:13" ht="16.5" thickBot="1" x14ac:dyDescent="0.3">
      <c r="A5" s="115"/>
      <c r="B5" s="115"/>
      <c r="C5" s="115"/>
      <c r="D5" s="115"/>
      <c r="E5" s="115"/>
      <c r="F5" s="115"/>
      <c r="G5" s="115"/>
      <c r="H5" s="115"/>
      <c r="I5" s="115"/>
      <c r="J5" s="11"/>
    </row>
    <row r="6" spans="1:13" ht="15.75" x14ac:dyDescent="0.25">
      <c r="A6" s="470" t="s">
        <v>3</v>
      </c>
      <c r="B6" s="472" t="s">
        <v>4</v>
      </c>
      <c r="C6" s="473"/>
      <c r="D6" s="474" t="s">
        <v>5</v>
      </c>
      <c r="E6" s="474" t="s">
        <v>6</v>
      </c>
      <c r="F6" s="476" t="s">
        <v>7</v>
      </c>
      <c r="G6" s="477"/>
      <c r="H6" s="478" t="s">
        <v>8</v>
      </c>
      <c r="I6" s="480" t="s">
        <v>9</v>
      </c>
      <c r="J6" s="481"/>
    </row>
    <row r="7" spans="1:13" ht="64.5" customHeight="1" thickBot="1" x14ac:dyDescent="0.3">
      <c r="A7" s="471"/>
      <c r="B7" s="12" t="s">
        <v>10</v>
      </c>
      <c r="C7" s="12" t="s">
        <v>11</v>
      </c>
      <c r="D7" s="475"/>
      <c r="E7" s="475"/>
      <c r="F7" s="13" t="s">
        <v>12</v>
      </c>
      <c r="G7" s="14" t="s">
        <v>13</v>
      </c>
      <c r="H7" s="479"/>
      <c r="I7" s="13" t="s">
        <v>12</v>
      </c>
      <c r="J7" s="15" t="s">
        <v>13</v>
      </c>
    </row>
    <row r="8" spans="1:13" ht="16.5" thickBot="1" x14ac:dyDescent="0.3">
      <c r="A8" s="39" t="s">
        <v>14</v>
      </c>
      <c r="B8" s="86"/>
      <c r="C8" s="86"/>
      <c r="D8" s="86"/>
      <c r="E8" s="86"/>
      <c r="F8" s="86"/>
      <c r="G8" s="86"/>
      <c r="H8" s="86"/>
      <c r="I8" s="86"/>
      <c r="J8" s="87"/>
    </row>
    <row r="9" spans="1:13" s="8" customFormat="1" ht="60.75" customHeight="1" thickBot="1" x14ac:dyDescent="0.3">
      <c r="A9" s="88" t="s">
        <v>15</v>
      </c>
      <c r="B9" s="19" t="s">
        <v>16</v>
      </c>
      <c r="C9" s="20" t="s">
        <v>17</v>
      </c>
      <c r="D9" s="21">
        <f>17859290*1.18/1000</f>
        <v>21073.962199999998</v>
      </c>
      <c r="E9" s="21">
        <f>SUM(G9:G9)</f>
        <v>18035.17841</v>
      </c>
      <c r="F9" s="21" t="s">
        <v>18</v>
      </c>
      <c r="G9" s="21">
        <f>18035178.41/1000</f>
        <v>18035.17841</v>
      </c>
      <c r="H9" s="21">
        <f>SUM(J9:J9)</f>
        <v>0</v>
      </c>
      <c r="I9" s="122" t="s">
        <v>19</v>
      </c>
      <c r="J9" s="23" t="s">
        <v>19</v>
      </c>
      <c r="M9" s="190"/>
    </row>
    <row r="10" spans="1:13" s="8" customFormat="1" ht="63" customHeight="1" thickBot="1" x14ac:dyDescent="0.3">
      <c r="A10" s="89" t="s">
        <v>20</v>
      </c>
      <c r="B10" s="20" t="s">
        <v>16</v>
      </c>
      <c r="C10" s="20" t="s">
        <v>21</v>
      </c>
      <c r="D10" s="21">
        <f>10176490*1.18/1000</f>
        <v>12008.258199999998</v>
      </c>
      <c r="E10" s="21">
        <f>SUM(G10:G10)</f>
        <v>12008.258199999998</v>
      </c>
      <c r="F10" s="21" t="s">
        <v>18</v>
      </c>
      <c r="G10" s="21">
        <f>12008258.2/1000</f>
        <v>12008.258199999998</v>
      </c>
      <c r="H10" s="21">
        <f>SUM(J10:J10)</f>
        <v>0</v>
      </c>
      <c r="I10" s="122" t="s">
        <v>19</v>
      </c>
      <c r="J10" s="23" t="s">
        <v>19</v>
      </c>
    </row>
    <row r="11" spans="1:13" s="8" customFormat="1" ht="62.25" customHeight="1" thickBot="1" x14ac:dyDescent="0.3">
      <c r="A11" s="88" t="s">
        <v>22</v>
      </c>
      <c r="B11" s="19" t="s">
        <v>16</v>
      </c>
      <c r="C11" s="20" t="s">
        <v>21</v>
      </c>
      <c r="D11" s="21">
        <f>14884895*1.18/1000</f>
        <v>17564.176099999997</v>
      </c>
      <c r="E11" s="21">
        <f>SUM(G11:G11)</f>
        <v>17564.176100000001</v>
      </c>
      <c r="F11" s="21" t="s">
        <v>18</v>
      </c>
      <c r="G11" s="21">
        <f>17564176.1/1000</f>
        <v>17564.176100000001</v>
      </c>
      <c r="H11" s="21">
        <f>SUM(J11:J11)</f>
        <v>0</v>
      </c>
      <c r="I11" s="122" t="s">
        <v>19</v>
      </c>
      <c r="J11" s="23" t="s">
        <v>19</v>
      </c>
    </row>
    <row r="12" spans="1:13" s="8" customFormat="1" ht="45" customHeight="1" x14ac:dyDescent="0.25">
      <c r="A12" s="444" t="s">
        <v>23</v>
      </c>
      <c r="B12" s="130" t="s">
        <v>24</v>
      </c>
      <c r="C12" s="114" t="s">
        <v>25</v>
      </c>
      <c r="D12" s="131">
        <f>1100000/1000</f>
        <v>1100</v>
      </c>
      <c r="E12" s="131" t="str">
        <f>G12</f>
        <v>__</v>
      </c>
      <c r="F12" s="131" t="s">
        <v>19</v>
      </c>
      <c r="G12" s="27" t="s">
        <v>19</v>
      </c>
      <c r="H12" s="27">
        <f>J12+J13+J14</f>
        <v>1099.9999883999999</v>
      </c>
      <c r="I12" s="131" t="s">
        <v>26</v>
      </c>
      <c r="J12" s="28">
        <f>351196.6268/1000</f>
        <v>351.19662680000005</v>
      </c>
    </row>
    <row r="13" spans="1:13" s="8" customFormat="1" ht="45" customHeight="1" x14ac:dyDescent="0.25">
      <c r="A13" s="448"/>
      <c r="B13" s="118"/>
      <c r="C13" s="84"/>
      <c r="D13" s="113"/>
      <c r="E13" s="113"/>
      <c r="F13" s="131"/>
      <c r="G13" s="27"/>
      <c r="H13" s="102"/>
      <c r="I13" s="29" t="s">
        <v>159</v>
      </c>
      <c r="J13" s="28">
        <v>299.52134699999993</v>
      </c>
    </row>
    <row r="14" spans="1:13" s="8" customFormat="1" ht="45" customHeight="1" x14ac:dyDescent="0.25">
      <c r="A14" s="448"/>
      <c r="B14" s="118"/>
      <c r="C14" s="84"/>
      <c r="D14" s="113"/>
      <c r="E14" s="113"/>
      <c r="F14" s="131"/>
      <c r="G14" s="27"/>
      <c r="H14" s="102"/>
      <c r="I14" s="29" t="s">
        <v>175</v>
      </c>
      <c r="J14" s="28">
        <f>(380747.47/1000)*1.18</f>
        <v>449.28201459999991</v>
      </c>
    </row>
    <row r="15" spans="1:13" s="8" customFormat="1" ht="34.5" customHeight="1" x14ac:dyDescent="0.25">
      <c r="A15" s="448"/>
      <c r="B15" s="462" t="s">
        <v>27</v>
      </c>
      <c r="C15" s="462" t="s">
        <v>28</v>
      </c>
      <c r="D15" s="462">
        <v>2740.83</v>
      </c>
      <c r="E15" s="413">
        <f>SUM(G15:G18)</f>
        <v>2589.3861000000002</v>
      </c>
      <c r="F15" s="131" t="s">
        <v>29</v>
      </c>
      <c r="G15" s="27">
        <f>737212.08/1000</f>
        <v>737.21208000000001</v>
      </c>
      <c r="H15" s="413">
        <f>SUM(J15:J18)</f>
        <v>915.86171999999988</v>
      </c>
      <c r="I15" s="29" t="s">
        <v>30</v>
      </c>
      <c r="J15" s="28">
        <v>253.22681999999998</v>
      </c>
    </row>
    <row r="16" spans="1:13" s="8" customFormat="1" ht="34.5" customHeight="1" x14ac:dyDescent="0.25">
      <c r="A16" s="448"/>
      <c r="B16" s="397"/>
      <c r="C16" s="397"/>
      <c r="D16" s="397"/>
      <c r="E16" s="420"/>
      <c r="F16" s="131" t="s">
        <v>31</v>
      </c>
      <c r="G16" s="27">
        <f>936312.3/1000</f>
        <v>936.31230000000005</v>
      </c>
      <c r="H16" s="420"/>
      <c r="I16" s="131" t="s">
        <v>19</v>
      </c>
      <c r="J16" s="30" t="s">
        <v>19</v>
      </c>
    </row>
    <row r="17" spans="1:10" s="8" customFormat="1" ht="34.5" customHeight="1" x14ac:dyDescent="0.25">
      <c r="A17" s="448"/>
      <c r="B17" s="397"/>
      <c r="C17" s="397"/>
      <c r="D17" s="397"/>
      <c r="E17" s="420"/>
      <c r="F17" s="131" t="s">
        <v>32</v>
      </c>
      <c r="G17" s="27">
        <v>253.22682</v>
      </c>
      <c r="H17" s="412"/>
      <c r="I17" s="131" t="s">
        <v>19</v>
      </c>
      <c r="J17" s="30" t="s">
        <v>19</v>
      </c>
    </row>
    <row r="18" spans="1:10" s="8" customFormat="1" ht="34.5" customHeight="1" x14ac:dyDescent="0.25">
      <c r="A18" s="448"/>
      <c r="B18" s="452"/>
      <c r="C18" s="452"/>
      <c r="D18" s="452"/>
      <c r="E18" s="412"/>
      <c r="F18" s="131" t="s">
        <v>185</v>
      </c>
      <c r="G18" s="27">
        <f>662634.9/1000</f>
        <v>662.63490000000002</v>
      </c>
      <c r="H18" s="110"/>
      <c r="I18" s="131" t="s">
        <v>160</v>
      </c>
      <c r="J18" s="28">
        <v>662.6348999999999</v>
      </c>
    </row>
    <row r="19" spans="1:10" s="8" customFormat="1" ht="42" customHeight="1" x14ac:dyDescent="0.25">
      <c r="A19" s="448"/>
      <c r="B19" s="130" t="s">
        <v>33</v>
      </c>
      <c r="C19" s="114" t="s">
        <v>34</v>
      </c>
      <c r="D19" s="131">
        <f>1652600/1000</f>
        <v>1652.6</v>
      </c>
      <c r="E19" s="131">
        <f>G19</f>
        <v>1652.6</v>
      </c>
      <c r="F19" s="131" t="s">
        <v>35</v>
      </c>
      <c r="G19" s="27">
        <f>1652600/1000</f>
        <v>1652.6</v>
      </c>
      <c r="H19" s="27" t="str">
        <f>J19</f>
        <v>__</v>
      </c>
      <c r="I19" s="131" t="s">
        <v>19</v>
      </c>
      <c r="J19" s="28" t="s">
        <v>19</v>
      </c>
    </row>
    <row r="20" spans="1:10" s="8" customFormat="1" ht="42" customHeight="1" x14ac:dyDescent="0.25">
      <c r="A20" s="448"/>
      <c r="B20" s="172" t="s">
        <v>201</v>
      </c>
      <c r="C20" s="170" t="s">
        <v>202</v>
      </c>
      <c r="D20" s="169">
        <v>98</v>
      </c>
      <c r="E20" s="171">
        <f>G20</f>
        <v>98</v>
      </c>
      <c r="F20" s="200" t="s">
        <v>210</v>
      </c>
      <c r="G20" s="129">
        <v>98</v>
      </c>
      <c r="H20" s="27">
        <f>J20</f>
        <v>98.000002999999992</v>
      </c>
      <c r="I20" s="183" t="s">
        <v>213</v>
      </c>
      <c r="J20" s="30">
        <v>98.000002999999992</v>
      </c>
    </row>
    <row r="21" spans="1:10" s="8" customFormat="1" ht="38.25" customHeight="1" thickBot="1" x14ac:dyDescent="0.3">
      <c r="A21" s="445"/>
      <c r="B21" s="456" t="s">
        <v>36</v>
      </c>
      <c r="C21" s="457"/>
      <c r="D21" s="110" t="s">
        <v>19</v>
      </c>
      <c r="E21" s="131" t="str">
        <f>G21</f>
        <v>__</v>
      </c>
      <c r="F21" s="110" t="s">
        <v>19</v>
      </c>
      <c r="G21" s="110" t="s">
        <v>19</v>
      </c>
      <c r="H21" s="131">
        <f>J21</f>
        <v>66.934614999999994</v>
      </c>
      <c r="I21" s="110" t="s">
        <v>19</v>
      </c>
      <c r="J21" s="30">
        <v>66.934614999999994</v>
      </c>
    </row>
    <row r="22" spans="1:10" s="8" customFormat="1" ht="60.75" thickBot="1" x14ac:dyDescent="0.3">
      <c r="A22" s="117" t="s">
        <v>167</v>
      </c>
      <c r="B22" s="125" t="s">
        <v>168</v>
      </c>
      <c r="C22" s="130"/>
      <c r="D22" s="109">
        <f>70000/1000</f>
        <v>70</v>
      </c>
      <c r="E22" s="109">
        <f>G22</f>
        <v>70</v>
      </c>
      <c r="F22" s="199" t="s">
        <v>211</v>
      </c>
      <c r="G22" s="109">
        <v>70</v>
      </c>
      <c r="H22" s="109">
        <f>J22</f>
        <v>70</v>
      </c>
      <c r="I22" s="109" t="s">
        <v>178</v>
      </c>
      <c r="J22" s="126">
        <f>70000/1000</f>
        <v>70</v>
      </c>
    </row>
    <row r="23" spans="1:10" s="8" customFormat="1" ht="16.5" thickBot="1" x14ac:dyDescent="0.3">
      <c r="A23" s="32" t="s">
        <v>37</v>
      </c>
      <c r="B23" s="33"/>
      <c r="C23" s="116"/>
      <c r="D23" s="33"/>
      <c r="E23" s="34">
        <f>SUM(E9:E22)</f>
        <v>52017.598810000003</v>
      </c>
      <c r="F23" s="35"/>
      <c r="G23" s="34">
        <f>SUM(G7:G22)</f>
        <v>52017.598809999996</v>
      </c>
      <c r="H23" s="34">
        <f>SUM(H9:H22)</f>
        <v>2250.7963264</v>
      </c>
      <c r="I23" s="34"/>
      <c r="J23" s="36">
        <f>SUM(J9:J22)</f>
        <v>2250.7963264</v>
      </c>
    </row>
    <row r="24" spans="1:10" s="8" customFormat="1" ht="39" customHeight="1" thickBot="1" x14ac:dyDescent="0.3">
      <c r="A24" s="32" t="s">
        <v>38</v>
      </c>
      <c r="B24" s="33"/>
      <c r="C24" s="33"/>
      <c r="D24" s="33"/>
      <c r="E24" s="34">
        <f>G24</f>
        <v>827.16114337703709</v>
      </c>
      <c r="F24" s="37"/>
      <c r="G24" s="34">
        <f>J24</f>
        <v>827.16114337703709</v>
      </c>
      <c r="H24" s="34">
        <f>J24</f>
        <v>827.16114337703709</v>
      </c>
      <c r="I24" s="37"/>
      <c r="J24" s="36">
        <v>827.16114337703709</v>
      </c>
    </row>
    <row r="25" spans="1:10" s="8" customFormat="1" ht="32.25" thickBot="1" x14ac:dyDescent="0.3">
      <c r="A25" s="32" t="s">
        <v>39</v>
      </c>
      <c r="B25" s="33"/>
      <c r="C25" s="33"/>
      <c r="D25" s="33"/>
      <c r="E25" s="34">
        <f>E23+E24</f>
        <v>52844.759953377041</v>
      </c>
      <c r="F25" s="35"/>
      <c r="G25" s="34">
        <f>G23+G24</f>
        <v>52844.759953377034</v>
      </c>
      <c r="H25" s="34">
        <f>H23+H24</f>
        <v>3077.9574697770372</v>
      </c>
      <c r="I25" s="37"/>
      <c r="J25" s="36">
        <f>J23+J24</f>
        <v>3077.9574697770372</v>
      </c>
    </row>
    <row r="26" spans="1:10" s="8" customFormat="1" ht="16.5" customHeight="1" thickBot="1" x14ac:dyDescent="0.3">
      <c r="A26" s="152"/>
      <c r="B26" s="100"/>
      <c r="C26" s="100"/>
      <c r="D26" s="100"/>
      <c r="E26" s="101" t="s">
        <v>40</v>
      </c>
      <c r="F26" s="100"/>
      <c r="G26" s="100"/>
      <c r="H26" s="100"/>
      <c r="I26" s="100"/>
      <c r="J26" s="144"/>
    </row>
    <row r="27" spans="1:10" s="8" customFormat="1" ht="45" customHeight="1" x14ac:dyDescent="0.25">
      <c r="A27" s="558" t="s">
        <v>41</v>
      </c>
      <c r="B27" s="557" t="s">
        <v>42</v>
      </c>
      <c r="C27" s="446" t="s">
        <v>43</v>
      </c>
      <c r="D27" s="438">
        <v>82000</v>
      </c>
      <c r="E27" s="438">
        <f>SUM(G27:G38)</f>
        <v>8605.0906300000006</v>
      </c>
      <c r="F27" s="206" t="s">
        <v>44</v>
      </c>
      <c r="G27" s="206">
        <v>130.99584999999999</v>
      </c>
      <c r="H27" s="438">
        <f>SUM(J27:J38)</f>
        <v>11307.951469600001</v>
      </c>
      <c r="I27" s="206" t="s">
        <v>45</v>
      </c>
      <c r="J27" s="18">
        <f>130995.8474/1000</f>
        <v>130.9958474</v>
      </c>
    </row>
    <row r="28" spans="1:10" s="8" customFormat="1" ht="45" x14ac:dyDescent="0.25">
      <c r="A28" s="421"/>
      <c r="B28" s="428"/>
      <c r="C28" s="397"/>
      <c r="D28" s="420"/>
      <c r="E28" s="420"/>
      <c r="F28" s="205" t="s">
        <v>46</v>
      </c>
      <c r="G28" s="205">
        <v>651.55920000000003</v>
      </c>
      <c r="H28" s="420"/>
      <c r="I28" s="205" t="s">
        <v>47</v>
      </c>
      <c r="J28" s="28">
        <f>30576.14*1.18/1000</f>
        <v>36.079845199999994</v>
      </c>
    </row>
    <row r="29" spans="1:10" s="8" customFormat="1" ht="45" x14ac:dyDescent="0.25">
      <c r="A29" s="421"/>
      <c r="B29" s="428"/>
      <c r="C29" s="397"/>
      <c r="D29" s="420"/>
      <c r="E29" s="420"/>
      <c r="F29" s="205" t="s">
        <v>48</v>
      </c>
      <c r="G29" s="205">
        <v>36.07985</v>
      </c>
      <c r="H29" s="420"/>
      <c r="I29" s="205" t="s">
        <v>49</v>
      </c>
      <c r="J29" s="28">
        <f>552168.81*1.18/1000</f>
        <v>651.5591958</v>
      </c>
    </row>
    <row r="30" spans="1:10" s="8" customFormat="1" ht="45" x14ac:dyDescent="0.25">
      <c r="A30" s="421"/>
      <c r="B30" s="428"/>
      <c r="C30" s="397"/>
      <c r="D30" s="420"/>
      <c r="E30" s="420"/>
      <c r="F30" s="205" t="s">
        <v>19</v>
      </c>
      <c r="G30" s="205" t="s">
        <v>19</v>
      </c>
      <c r="H30" s="420"/>
      <c r="I30" s="205" t="s">
        <v>50</v>
      </c>
      <c r="J30" s="28">
        <v>505.16762879999999</v>
      </c>
    </row>
    <row r="31" spans="1:10" s="8" customFormat="1" ht="45" x14ac:dyDescent="0.25">
      <c r="A31" s="421"/>
      <c r="B31" s="428"/>
      <c r="C31" s="397"/>
      <c r="D31" s="420"/>
      <c r="E31" s="420"/>
      <c r="F31" s="205" t="s">
        <v>19</v>
      </c>
      <c r="G31" s="205" t="s">
        <v>19</v>
      </c>
      <c r="H31" s="420"/>
      <c r="I31" s="205" t="s">
        <v>51</v>
      </c>
      <c r="J31" s="28">
        <v>1041.8767402000001</v>
      </c>
    </row>
    <row r="32" spans="1:10" s="8" customFormat="1" ht="45" x14ac:dyDescent="0.25">
      <c r="A32" s="421"/>
      <c r="B32" s="428"/>
      <c r="C32" s="397"/>
      <c r="D32" s="420"/>
      <c r="E32" s="420"/>
      <c r="F32" s="205" t="s">
        <v>183</v>
      </c>
      <c r="G32" s="205">
        <f>505167.63/1000</f>
        <v>505.16763000000003</v>
      </c>
      <c r="H32" s="420"/>
      <c r="I32" s="205" t="s">
        <v>158</v>
      </c>
      <c r="J32" s="28">
        <v>3587.7674383999997</v>
      </c>
    </row>
    <row r="33" spans="1:10" s="8" customFormat="1" ht="45" x14ac:dyDescent="0.25">
      <c r="A33" s="421"/>
      <c r="B33" s="428"/>
      <c r="C33" s="397"/>
      <c r="D33" s="420"/>
      <c r="E33" s="420"/>
      <c r="F33" s="205" t="s">
        <v>184</v>
      </c>
      <c r="G33" s="205">
        <f>1041876.74/1000</f>
        <v>1041.8767399999999</v>
      </c>
      <c r="H33" s="420"/>
      <c r="I33" s="205" t="s">
        <v>157</v>
      </c>
      <c r="J33" s="28">
        <v>676.7155095999999</v>
      </c>
    </row>
    <row r="34" spans="1:10" s="8" customFormat="1" ht="45" x14ac:dyDescent="0.25">
      <c r="A34" s="421"/>
      <c r="B34" s="428"/>
      <c r="C34" s="397"/>
      <c r="D34" s="420"/>
      <c r="E34" s="420"/>
      <c r="F34" s="205" t="s">
        <v>188</v>
      </c>
      <c r="G34" s="205">
        <f>3587767.44/1000</f>
        <v>3587.7674400000001</v>
      </c>
      <c r="H34" s="420"/>
      <c r="I34" s="205" t="s">
        <v>177</v>
      </c>
      <c r="J34" s="28">
        <v>1793.9132191999997</v>
      </c>
    </row>
    <row r="35" spans="1:10" s="8" customFormat="1" ht="45" x14ac:dyDescent="0.25">
      <c r="A35" s="421"/>
      <c r="B35" s="428"/>
      <c r="C35" s="397"/>
      <c r="D35" s="420"/>
      <c r="E35" s="420"/>
      <c r="F35" s="205" t="s">
        <v>187</v>
      </c>
      <c r="G35" s="205">
        <f>676715.51/1000</f>
        <v>676.71550999999999</v>
      </c>
      <c r="H35" s="420"/>
      <c r="I35" s="205" t="s">
        <v>215</v>
      </c>
      <c r="J35" s="28">
        <v>2883.876045</v>
      </c>
    </row>
    <row r="36" spans="1:10" s="8" customFormat="1" ht="30" x14ac:dyDescent="0.25">
      <c r="A36" s="421"/>
      <c r="B36" s="428"/>
      <c r="C36" s="397"/>
      <c r="D36" s="420"/>
      <c r="E36" s="420"/>
      <c r="F36" s="204" t="s">
        <v>207</v>
      </c>
      <c r="G36" s="204">
        <v>1793.9132199999999</v>
      </c>
      <c r="H36" s="420"/>
      <c r="I36" s="204"/>
      <c r="J36" s="185"/>
    </row>
    <row r="37" spans="1:10" s="8" customFormat="1" ht="30" x14ac:dyDescent="0.25">
      <c r="A37" s="421"/>
      <c r="B37" s="428"/>
      <c r="C37" s="397"/>
      <c r="D37" s="420"/>
      <c r="E37" s="420"/>
      <c r="F37" s="204" t="s">
        <v>208</v>
      </c>
      <c r="G37" s="204">
        <v>156.38051000000002</v>
      </c>
      <c r="H37" s="420"/>
      <c r="I37" s="204"/>
      <c r="J37" s="185"/>
    </row>
    <row r="38" spans="1:10" s="8" customFormat="1" ht="30.75" thickBot="1" x14ac:dyDescent="0.3">
      <c r="A38" s="421"/>
      <c r="B38" s="426"/>
      <c r="C38" s="398"/>
      <c r="D38" s="424"/>
      <c r="E38" s="424"/>
      <c r="F38" s="21" t="s">
        <v>209</v>
      </c>
      <c r="G38" s="21">
        <v>24.634679999999999</v>
      </c>
      <c r="H38" s="424"/>
      <c r="I38" s="21"/>
      <c r="J38" s="153"/>
    </row>
    <row r="39" spans="1:10" s="8" customFormat="1" ht="45" x14ac:dyDescent="0.25">
      <c r="A39" s="421"/>
      <c r="B39" s="428" t="s">
        <v>42</v>
      </c>
      <c r="C39" s="397" t="s">
        <v>52</v>
      </c>
      <c r="D39" s="420">
        <f>7700000/1000</f>
        <v>7700</v>
      </c>
      <c r="E39" s="438">
        <f>SUM(G39:G46)</f>
        <v>1975.37141</v>
      </c>
      <c r="F39" s="110" t="s">
        <v>53</v>
      </c>
      <c r="G39" s="110">
        <f>513728.95/1000</f>
        <v>513.72895000000005</v>
      </c>
      <c r="H39" s="438">
        <f>SUM(J39:J46)</f>
        <v>498.0784956</v>
      </c>
      <c r="I39" s="41" t="s">
        <v>54</v>
      </c>
      <c r="J39" s="53">
        <f>4024.8148/1000</f>
        <v>4.0248147999999997</v>
      </c>
    </row>
    <row r="40" spans="1:10" s="8" customFormat="1" ht="35.25" customHeight="1" x14ac:dyDescent="0.25">
      <c r="A40" s="421"/>
      <c r="B40" s="428"/>
      <c r="C40" s="397"/>
      <c r="D40" s="420"/>
      <c r="E40" s="420"/>
      <c r="F40" s="110" t="s">
        <v>55</v>
      </c>
      <c r="G40" s="110">
        <f>100040.74/1000</f>
        <v>100.04074</v>
      </c>
      <c r="H40" s="420"/>
      <c r="I40" s="29" t="s">
        <v>19</v>
      </c>
      <c r="J40" s="28" t="s">
        <v>19</v>
      </c>
    </row>
    <row r="41" spans="1:10" s="8" customFormat="1" ht="35.25" customHeight="1" x14ac:dyDescent="0.25">
      <c r="A41" s="421"/>
      <c r="B41" s="428"/>
      <c r="C41" s="397"/>
      <c r="D41" s="420"/>
      <c r="E41" s="420"/>
      <c r="F41" s="110" t="s">
        <v>56</v>
      </c>
      <c r="G41" s="110">
        <f>73031.03/1000</f>
        <v>73.031030000000001</v>
      </c>
      <c r="H41" s="420"/>
      <c r="I41" s="41" t="s">
        <v>19</v>
      </c>
      <c r="J41" s="28" t="s">
        <v>19</v>
      </c>
    </row>
    <row r="42" spans="1:10" s="8" customFormat="1" ht="35.25" customHeight="1" x14ac:dyDescent="0.25">
      <c r="A42" s="421"/>
      <c r="B42" s="428"/>
      <c r="C42" s="397"/>
      <c r="D42" s="420"/>
      <c r="E42" s="420"/>
      <c r="F42" s="110" t="s">
        <v>57</v>
      </c>
      <c r="G42" s="110">
        <f>122959.86/1000</f>
        <v>122.95986000000001</v>
      </c>
      <c r="H42" s="420"/>
      <c r="I42" s="41" t="s">
        <v>19</v>
      </c>
      <c r="J42" s="28" t="s">
        <v>19</v>
      </c>
    </row>
    <row r="43" spans="1:10" s="8" customFormat="1" ht="35.25" customHeight="1" x14ac:dyDescent="0.25">
      <c r="A43" s="421"/>
      <c r="B43" s="428"/>
      <c r="C43" s="397"/>
      <c r="D43" s="420"/>
      <c r="E43" s="420"/>
      <c r="F43" s="110" t="s">
        <v>58</v>
      </c>
      <c r="G43" s="110">
        <f>819718.69/1000</f>
        <v>819.71868999999992</v>
      </c>
      <c r="H43" s="420"/>
      <c r="I43" s="41" t="s">
        <v>19</v>
      </c>
      <c r="J43" s="28" t="s">
        <v>19</v>
      </c>
    </row>
    <row r="44" spans="1:10" s="8" customFormat="1" ht="35.25" customHeight="1" x14ac:dyDescent="0.25">
      <c r="A44" s="421"/>
      <c r="B44" s="428"/>
      <c r="C44" s="397"/>
      <c r="D44" s="420"/>
      <c r="E44" s="420"/>
      <c r="F44" s="110" t="s">
        <v>59</v>
      </c>
      <c r="G44" s="110">
        <v>4.0248100000000004</v>
      </c>
      <c r="H44" s="420"/>
      <c r="I44" s="41" t="s">
        <v>19</v>
      </c>
      <c r="J44" s="28" t="s">
        <v>19</v>
      </c>
    </row>
    <row r="45" spans="1:10" s="8" customFormat="1" ht="45" x14ac:dyDescent="0.25">
      <c r="A45" s="421"/>
      <c r="B45" s="187"/>
      <c r="C45" s="119"/>
      <c r="D45" s="109"/>
      <c r="E45" s="420"/>
      <c r="F45" s="110" t="s">
        <v>186</v>
      </c>
      <c r="G45" s="110">
        <f>341867.33/1000</f>
        <v>341.86733000000004</v>
      </c>
      <c r="H45" s="420"/>
      <c r="I45" s="41" t="s">
        <v>163</v>
      </c>
      <c r="J45" s="30">
        <v>341.8673344</v>
      </c>
    </row>
    <row r="46" spans="1:10" s="8" customFormat="1" ht="61.5" customHeight="1" x14ac:dyDescent="0.25">
      <c r="A46" s="421"/>
      <c r="B46" s="187"/>
      <c r="C46" s="119"/>
      <c r="D46" s="109"/>
      <c r="E46" s="412"/>
      <c r="F46" s="110"/>
      <c r="G46" s="110"/>
      <c r="H46" s="412"/>
      <c r="I46" s="41" t="s">
        <v>176</v>
      </c>
      <c r="J46" s="30">
        <f>(128971.48/1000)*1.18</f>
        <v>152.18634639999996</v>
      </c>
    </row>
    <row r="47" spans="1:10" s="8" customFormat="1" ht="35.25" customHeight="1" x14ac:dyDescent="0.25">
      <c r="A47" s="421"/>
      <c r="B47" s="413" t="s">
        <v>60</v>
      </c>
      <c r="C47" s="413" t="s">
        <v>61</v>
      </c>
      <c r="D47" s="413">
        <f>143412108/1000</f>
        <v>143412.10800000001</v>
      </c>
      <c r="E47" s="413">
        <f>SUM(G47:G61)</f>
        <v>57243.230510000001</v>
      </c>
      <c r="F47" s="110" t="s">
        <v>62</v>
      </c>
      <c r="G47" s="110">
        <f>16086573.81/1000</f>
        <v>16086.57381</v>
      </c>
      <c r="H47" s="413">
        <f>SUM(J47:J55)</f>
        <v>0</v>
      </c>
      <c r="I47" s="41" t="s">
        <v>19</v>
      </c>
      <c r="J47" s="30" t="s">
        <v>19</v>
      </c>
    </row>
    <row r="48" spans="1:10" s="8" customFormat="1" ht="46.5" customHeight="1" x14ac:dyDescent="0.25">
      <c r="A48" s="421"/>
      <c r="B48" s="420"/>
      <c r="C48" s="420"/>
      <c r="D48" s="420"/>
      <c r="E48" s="420"/>
      <c r="F48" s="110" t="s">
        <v>63</v>
      </c>
      <c r="G48" s="110">
        <f>292539.95/1000</f>
        <v>292.53995000000003</v>
      </c>
      <c r="H48" s="420"/>
      <c r="I48" s="41" t="s">
        <v>19</v>
      </c>
      <c r="J48" s="30" t="s">
        <v>19</v>
      </c>
    </row>
    <row r="49" spans="1:12" s="8" customFormat="1" ht="31.5" customHeight="1" x14ac:dyDescent="0.25">
      <c r="A49" s="421"/>
      <c r="B49" s="420"/>
      <c r="C49" s="420"/>
      <c r="D49" s="420"/>
      <c r="E49" s="420"/>
      <c r="F49" s="110" t="s">
        <v>64</v>
      </c>
      <c r="G49" s="110">
        <v>636.48311999999999</v>
      </c>
      <c r="H49" s="420"/>
      <c r="I49" s="41" t="s">
        <v>19</v>
      </c>
      <c r="J49" s="30" t="s">
        <v>19</v>
      </c>
    </row>
    <row r="50" spans="1:12" s="8" customFormat="1" ht="31.5" customHeight="1" x14ac:dyDescent="0.25">
      <c r="A50" s="421"/>
      <c r="B50" s="420"/>
      <c r="C50" s="420"/>
      <c r="D50" s="420"/>
      <c r="E50" s="420"/>
      <c r="F50" s="413" t="s">
        <v>65</v>
      </c>
      <c r="G50" s="110">
        <v>1196.35187</v>
      </c>
      <c r="H50" s="420"/>
      <c r="I50" s="41" t="s">
        <v>19</v>
      </c>
      <c r="J50" s="30" t="s">
        <v>19</v>
      </c>
    </row>
    <row r="51" spans="1:12" s="8" customFormat="1" ht="31.5" customHeight="1" x14ac:dyDescent="0.25">
      <c r="A51" s="421"/>
      <c r="B51" s="420"/>
      <c r="C51" s="420"/>
      <c r="D51" s="420"/>
      <c r="E51" s="420"/>
      <c r="F51" s="412"/>
      <c r="G51" s="110">
        <v>622.94609000000003</v>
      </c>
      <c r="H51" s="420"/>
      <c r="I51" s="41" t="s">
        <v>19</v>
      </c>
      <c r="J51" s="30" t="s">
        <v>19</v>
      </c>
    </row>
    <row r="52" spans="1:12" s="8" customFormat="1" ht="31.5" customHeight="1" x14ac:dyDescent="0.25">
      <c r="A52" s="421"/>
      <c r="B52" s="420"/>
      <c r="C52" s="420"/>
      <c r="D52" s="420"/>
      <c r="E52" s="420"/>
      <c r="F52" s="110" t="s">
        <v>66</v>
      </c>
      <c r="G52" s="110">
        <v>2955.7913199999998</v>
      </c>
      <c r="H52" s="420"/>
      <c r="I52" s="41" t="s">
        <v>19</v>
      </c>
      <c r="J52" s="30" t="s">
        <v>19</v>
      </c>
    </row>
    <row r="53" spans="1:12" s="8" customFormat="1" ht="31.5" customHeight="1" x14ac:dyDescent="0.25">
      <c r="A53" s="421"/>
      <c r="B53" s="420"/>
      <c r="C53" s="420"/>
      <c r="D53" s="420"/>
      <c r="E53" s="420"/>
      <c r="F53" s="110" t="s">
        <v>67</v>
      </c>
      <c r="G53" s="110">
        <v>3937.3973700000001</v>
      </c>
      <c r="H53" s="420"/>
      <c r="I53" s="41" t="s">
        <v>19</v>
      </c>
      <c r="J53" s="30" t="s">
        <v>19</v>
      </c>
    </row>
    <row r="54" spans="1:12" s="8" customFormat="1" ht="31.5" customHeight="1" x14ac:dyDescent="0.25">
      <c r="A54" s="421"/>
      <c r="B54" s="420"/>
      <c r="C54" s="420"/>
      <c r="D54" s="420"/>
      <c r="E54" s="420"/>
      <c r="F54" s="110" t="s">
        <v>68</v>
      </c>
      <c r="G54" s="110">
        <v>7794.63627</v>
      </c>
      <c r="H54" s="420"/>
      <c r="I54" s="41" t="s">
        <v>19</v>
      </c>
      <c r="J54" s="30" t="s">
        <v>19</v>
      </c>
    </row>
    <row r="55" spans="1:12" s="8" customFormat="1" ht="31.5" customHeight="1" x14ac:dyDescent="0.25">
      <c r="A55" s="421"/>
      <c r="B55" s="420"/>
      <c r="C55" s="420"/>
      <c r="D55" s="420"/>
      <c r="E55" s="420"/>
      <c r="F55" s="109" t="s">
        <v>69</v>
      </c>
      <c r="G55" s="109">
        <v>8396.4669300000005</v>
      </c>
      <c r="H55" s="420"/>
      <c r="I55" s="127" t="s">
        <v>19</v>
      </c>
      <c r="J55" s="126" t="s">
        <v>19</v>
      </c>
    </row>
    <row r="56" spans="1:12" s="8" customFormat="1" ht="31.5" customHeight="1" x14ac:dyDescent="0.25">
      <c r="A56" s="421"/>
      <c r="B56" s="420"/>
      <c r="C56" s="420"/>
      <c r="D56" s="420"/>
      <c r="E56" s="420"/>
      <c r="F56" s="131" t="s">
        <v>190</v>
      </c>
      <c r="G56" s="131">
        <v>5037.8801599999997</v>
      </c>
      <c r="H56" s="420"/>
      <c r="I56" s="41" t="s">
        <v>19</v>
      </c>
      <c r="J56" s="30" t="s">
        <v>19</v>
      </c>
    </row>
    <row r="57" spans="1:12" s="8" customFormat="1" ht="31.5" customHeight="1" x14ac:dyDescent="0.25">
      <c r="A57" s="421"/>
      <c r="B57" s="420"/>
      <c r="C57" s="420"/>
      <c r="D57" s="420"/>
      <c r="E57" s="420"/>
      <c r="F57" s="131" t="s">
        <v>191</v>
      </c>
      <c r="G57" s="131">
        <v>4676.7817599999998</v>
      </c>
      <c r="H57" s="420"/>
      <c r="I57" s="127" t="s">
        <v>19</v>
      </c>
      <c r="J57" s="126" t="s">
        <v>19</v>
      </c>
    </row>
    <row r="58" spans="1:12" s="8" customFormat="1" ht="31.5" customHeight="1" x14ac:dyDescent="0.25">
      <c r="A58" s="421"/>
      <c r="B58" s="420"/>
      <c r="C58" s="420"/>
      <c r="D58" s="420"/>
      <c r="E58" s="420"/>
      <c r="F58" s="131" t="s">
        <v>199</v>
      </c>
      <c r="G58" s="131">
        <v>1773.47479</v>
      </c>
      <c r="H58" s="420"/>
      <c r="I58" s="41" t="s">
        <v>19</v>
      </c>
      <c r="J58" s="30" t="s">
        <v>19</v>
      </c>
    </row>
    <row r="59" spans="1:12" s="8" customFormat="1" ht="31.5" customHeight="1" x14ac:dyDescent="0.25">
      <c r="A59" s="421"/>
      <c r="B59" s="420"/>
      <c r="C59" s="420"/>
      <c r="D59" s="420"/>
      <c r="E59" s="420"/>
      <c r="F59" s="131" t="s">
        <v>196</v>
      </c>
      <c r="G59" s="131">
        <v>2362.43842</v>
      </c>
      <c r="H59" s="420"/>
      <c r="I59" s="127" t="s">
        <v>19</v>
      </c>
      <c r="J59" s="126" t="s">
        <v>19</v>
      </c>
    </row>
    <row r="60" spans="1:12" s="8" customFormat="1" ht="31.5" customHeight="1" x14ac:dyDescent="0.25">
      <c r="A60" s="421"/>
      <c r="B60" s="420"/>
      <c r="C60" s="420"/>
      <c r="D60" s="420"/>
      <c r="E60" s="420"/>
      <c r="F60" s="131" t="s">
        <v>195</v>
      </c>
      <c r="G60" s="131">
        <v>1091.5787800000001</v>
      </c>
      <c r="H60" s="420"/>
      <c r="I60" s="41" t="s">
        <v>19</v>
      </c>
      <c r="J60" s="30" t="s">
        <v>19</v>
      </c>
    </row>
    <row r="61" spans="1:12" s="8" customFormat="1" ht="31.5" customHeight="1" x14ac:dyDescent="0.25">
      <c r="A61" s="421"/>
      <c r="B61" s="420"/>
      <c r="C61" s="420"/>
      <c r="D61" s="420"/>
      <c r="E61" s="420"/>
      <c r="F61" s="174" t="s">
        <v>198</v>
      </c>
      <c r="G61" s="174">
        <v>381.88986999999997</v>
      </c>
      <c r="H61" s="420"/>
      <c r="I61" s="127" t="s">
        <v>19</v>
      </c>
      <c r="J61" s="126" t="s">
        <v>19</v>
      </c>
    </row>
    <row r="62" spans="1:12" s="8" customFormat="1" ht="31.5" customHeight="1" thickBot="1" x14ac:dyDescent="0.3">
      <c r="A62" s="422"/>
      <c r="B62" s="408" t="s">
        <v>206</v>
      </c>
      <c r="C62" s="408"/>
      <c r="D62" s="180" t="s">
        <v>19</v>
      </c>
      <c r="E62" s="180">
        <f>G62</f>
        <v>130.7268</v>
      </c>
      <c r="F62" s="180" t="s">
        <v>19</v>
      </c>
      <c r="G62" s="180">
        <f>130726.8/1000</f>
        <v>130.7268</v>
      </c>
      <c r="H62" s="180">
        <f>J62</f>
        <v>130.7268</v>
      </c>
      <c r="I62" s="180" t="s">
        <v>19</v>
      </c>
      <c r="J62" s="180">
        <f>130726.8/1000</f>
        <v>130.7268</v>
      </c>
    </row>
    <row r="63" spans="1:12" s="8" customFormat="1" ht="57" customHeight="1" thickBot="1" x14ac:dyDescent="0.3">
      <c r="A63" s="186" t="s">
        <v>203</v>
      </c>
      <c r="B63" s="189" t="s">
        <v>204</v>
      </c>
      <c r="C63" s="179" t="s">
        <v>205</v>
      </c>
      <c r="D63" s="182">
        <v>19.6450058</v>
      </c>
      <c r="E63" s="173">
        <f>G63</f>
        <v>0</v>
      </c>
      <c r="F63" s="178"/>
      <c r="G63" s="178"/>
      <c r="H63" s="178">
        <f>J63</f>
        <v>19.6450058</v>
      </c>
      <c r="I63" s="212" t="s">
        <v>214</v>
      </c>
      <c r="J63" s="23">
        <v>19.6450058</v>
      </c>
      <c r="L63" s="188"/>
    </row>
    <row r="64" spans="1:12" s="8" customFormat="1" ht="38.25" customHeight="1" x14ac:dyDescent="0.25">
      <c r="A64" s="395" t="s">
        <v>70</v>
      </c>
      <c r="B64" s="452" t="s">
        <v>71</v>
      </c>
      <c r="C64" s="452" t="s">
        <v>72</v>
      </c>
      <c r="D64" s="412">
        <v>76117.5</v>
      </c>
      <c r="E64" s="412">
        <f>SUM(G64:G66)</f>
        <v>68500.004159999997</v>
      </c>
      <c r="F64" s="110" t="s">
        <v>73</v>
      </c>
      <c r="G64" s="110">
        <v>18686.76355</v>
      </c>
      <c r="H64" s="420">
        <f>SUM(J64:J66)</f>
        <v>14586.2296054</v>
      </c>
      <c r="I64" s="176" t="s">
        <v>74</v>
      </c>
      <c r="J64" s="30">
        <f>1581261.2*1.18/1000</f>
        <v>1865.8882159999998</v>
      </c>
    </row>
    <row r="65" spans="1:10" s="8" customFormat="1" ht="38.25" customHeight="1" x14ac:dyDescent="0.25">
      <c r="A65" s="395"/>
      <c r="B65" s="430"/>
      <c r="C65" s="430"/>
      <c r="D65" s="408"/>
      <c r="E65" s="408"/>
      <c r="F65" s="131" t="s">
        <v>19</v>
      </c>
      <c r="G65" s="131" t="s">
        <v>19</v>
      </c>
      <c r="H65" s="420"/>
      <c r="I65" s="131" t="s">
        <v>75</v>
      </c>
      <c r="J65" s="28">
        <v>11356.159224999999</v>
      </c>
    </row>
    <row r="66" spans="1:10" s="8" customFormat="1" ht="38.25" customHeight="1" x14ac:dyDescent="0.25">
      <c r="A66" s="395"/>
      <c r="B66" s="130"/>
      <c r="C66" s="130"/>
      <c r="D66" s="131"/>
      <c r="E66" s="131"/>
      <c r="F66" s="131" t="s">
        <v>197</v>
      </c>
      <c r="G66" s="131">
        <f>49813240.61/1000</f>
        <v>49813.240610000001</v>
      </c>
      <c r="H66" s="412"/>
      <c r="I66" s="131" t="s">
        <v>169</v>
      </c>
      <c r="J66" s="28">
        <f>(1156086.58/1000)*1.18</f>
        <v>1364.1821644000001</v>
      </c>
    </row>
    <row r="67" spans="1:10" s="8" customFormat="1" ht="48" customHeight="1" x14ac:dyDescent="0.25">
      <c r="A67" s="395"/>
      <c r="B67" s="430" t="s">
        <v>76</v>
      </c>
      <c r="C67" s="430"/>
      <c r="D67" s="131" t="s">
        <v>19</v>
      </c>
      <c r="E67" s="131" t="str">
        <f>G67</f>
        <v>__</v>
      </c>
      <c r="F67" s="131" t="s">
        <v>19</v>
      </c>
      <c r="G67" s="131" t="s">
        <v>19</v>
      </c>
      <c r="H67" s="131">
        <f>J67</f>
        <v>20560.291975</v>
      </c>
      <c r="I67" s="131" t="s">
        <v>19</v>
      </c>
      <c r="J67" s="28">
        <f>541.66779+19644.6171198+374.0070652</f>
        <v>20560.291975</v>
      </c>
    </row>
    <row r="68" spans="1:10" s="8" customFormat="1" ht="75.75" thickBot="1" x14ac:dyDescent="0.3">
      <c r="A68" s="396"/>
      <c r="B68" s="19" t="s">
        <v>171</v>
      </c>
      <c r="C68" s="19" t="s">
        <v>165</v>
      </c>
      <c r="D68" s="21">
        <v>99456.01</v>
      </c>
      <c r="E68" s="21">
        <f>G68</f>
        <v>99.45599</v>
      </c>
      <c r="F68" s="21" t="s">
        <v>179</v>
      </c>
      <c r="G68" s="21">
        <f>99455.99/1000</f>
        <v>99.45599</v>
      </c>
      <c r="H68" s="21">
        <f>J68</f>
        <v>99.455993199999995</v>
      </c>
      <c r="I68" s="21" t="s">
        <v>170</v>
      </c>
      <c r="J68" s="153">
        <f>(84284.74/1000)*1.18</f>
        <v>99.455993199999995</v>
      </c>
    </row>
    <row r="69" spans="1:10" s="8" customFormat="1" ht="66.75" customHeight="1" thickBot="1" x14ac:dyDescent="0.3">
      <c r="A69" s="128" t="s">
        <v>77</v>
      </c>
      <c r="B69" s="119" t="s">
        <v>78</v>
      </c>
      <c r="C69" s="119" t="s">
        <v>79</v>
      </c>
      <c r="D69" s="109">
        <f>1445500/1000</f>
        <v>1445.5</v>
      </c>
      <c r="E69" s="109">
        <f>SUM(G69:G69)</f>
        <v>335.86793</v>
      </c>
      <c r="F69" s="110" t="s">
        <v>80</v>
      </c>
      <c r="G69" s="129">
        <f>335867.93/1000</f>
        <v>335.86793</v>
      </c>
      <c r="H69" s="109">
        <f>SUM(J69:J69)</f>
        <v>0</v>
      </c>
      <c r="I69" s="110" t="s">
        <v>19</v>
      </c>
      <c r="J69" s="30" t="s">
        <v>19</v>
      </c>
    </row>
    <row r="70" spans="1:10" s="8" customFormat="1" ht="59.25" customHeight="1" x14ac:dyDescent="0.25">
      <c r="A70" s="444" t="s">
        <v>81</v>
      </c>
      <c r="B70" s="132" t="s">
        <v>82</v>
      </c>
      <c r="C70" s="132" t="s">
        <v>83</v>
      </c>
      <c r="D70" s="133">
        <f>8181813.14/1000</f>
        <v>8181.8131399999993</v>
      </c>
      <c r="E70" s="133">
        <f>SUM(G70:G70)</f>
        <v>0</v>
      </c>
      <c r="F70" s="132" t="s">
        <v>19</v>
      </c>
      <c r="G70" s="133" t="s">
        <v>19</v>
      </c>
      <c r="H70" s="133">
        <f>SUM(J70:J70)</f>
        <v>0</v>
      </c>
      <c r="I70" s="132" t="s">
        <v>19</v>
      </c>
      <c r="J70" s="18" t="s">
        <v>19</v>
      </c>
    </row>
    <row r="71" spans="1:10" s="8" customFormat="1" ht="50.25" customHeight="1" thickBot="1" x14ac:dyDescent="0.3">
      <c r="A71" s="448"/>
      <c r="B71" s="121" t="s">
        <v>84</v>
      </c>
      <c r="C71" s="121" t="s">
        <v>85</v>
      </c>
      <c r="D71" s="122">
        <f>514893.6/1000</f>
        <v>514.89359999999999</v>
      </c>
      <c r="E71" s="122">
        <f>G71</f>
        <v>514.89359999999999</v>
      </c>
      <c r="F71" s="121" t="s">
        <v>86</v>
      </c>
      <c r="G71" s="45">
        <f>514893.6/1000</f>
        <v>514.89359999999999</v>
      </c>
      <c r="H71" s="122"/>
      <c r="I71" s="121" t="s">
        <v>19</v>
      </c>
      <c r="J71" s="23" t="s">
        <v>19</v>
      </c>
    </row>
    <row r="72" spans="1:10" s="8" customFormat="1" ht="50.25" customHeight="1" thickBot="1" x14ac:dyDescent="0.3">
      <c r="A72" s="448"/>
      <c r="B72" s="446" t="s">
        <v>162</v>
      </c>
      <c r="C72" s="446" t="s">
        <v>166</v>
      </c>
      <c r="D72" s="438">
        <f>1870809/1000</f>
        <v>1870.809</v>
      </c>
      <c r="E72" s="438">
        <f>G72+G73+G74</f>
        <v>1870.80927</v>
      </c>
      <c r="F72" s="121" t="s">
        <v>180</v>
      </c>
      <c r="G72" s="45">
        <f>426279.58/1000</f>
        <v>426.27958000000001</v>
      </c>
      <c r="H72" s="122"/>
      <c r="I72" s="121"/>
      <c r="J72" s="23"/>
    </row>
    <row r="73" spans="1:10" s="8" customFormat="1" ht="50.25" customHeight="1" thickBot="1" x14ac:dyDescent="0.3">
      <c r="A73" s="448"/>
      <c r="B73" s="397"/>
      <c r="C73" s="397"/>
      <c r="D73" s="420"/>
      <c r="E73" s="420"/>
      <c r="F73" s="121" t="s">
        <v>182</v>
      </c>
      <c r="G73" s="45">
        <f>506089.2/1000</f>
        <v>506.08920000000001</v>
      </c>
      <c r="H73" s="122"/>
      <c r="I73" s="121"/>
      <c r="J73" s="23"/>
    </row>
    <row r="74" spans="1:10" s="8" customFormat="1" ht="50.25" customHeight="1" thickBot="1" x14ac:dyDescent="0.3">
      <c r="A74" s="445"/>
      <c r="B74" s="398"/>
      <c r="C74" s="398"/>
      <c r="D74" s="424"/>
      <c r="E74" s="424"/>
      <c r="F74" s="121" t="s">
        <v>181</v>
      </c>
      <c r="G74" s="45">
        <f>938440.49/1000</f>
        <v>938.44048999999995</v>
      </c>
      <c r="H74" s="122"/>
      <c r="I74" s="121"/>
      <c r="J74" s="23"/>
    </row>
    <row r="75" spans="1:10" s="8" customFormat="1" ht="75" customHeight="1" thickBot="1" x14ac:dyDescent="0.3">
      <c r="A75" s="90" t="s">
        <v>87</v>
      </c>
      <c r="B75" s="125" t="s">
        <v>88</v>
      </c>
      <c r="C75" s="177" t="s">
        <v>89</v>
      </c>
      <c r="D75" s="175">
        <v>1986</v>
      </c>
      <c r="E75" s="181">
        <f>SUM(G75)</f>
        <v>1986</v>
      </c>
      <c r="F75" s="193" t="s">
        <v>90</v>
      </c>
      <c r="G75" s="155">
        <v>1986</v>
      </c>
      <c r="H75" s="197">
        <f>SUM(J75)</f>
        <v>0</v>
      </c>
      <c r="I75" s="193" t="s">
        <v>19</v>
      </c>
      <c r="J75" s="126" t="s">
        <v>19</v>
      </c>
    </row>
    <row r="76" spans="1:10" ht="45" customHeight="1" x14ac:dyDescent="0.25">
      <c r="A76" s="435" t="s">
        <v>91</v>
      </c>
      <c r="B76" s="429" t="s">
        <v>92</v>
      </c>
      <c r="C76" s="429" t="s">
        <v>93</v>
      </c>
      <c r="D76" s="429">
        <v>118900</v>
      </c>
      <c r="E76" s="556">
        <f>SUM(G76:G81)</f>
        <v>15421.205240000001</v>
      </c>
      <c r="F76" s="198" t="s">
        <v>94</v>
      </c>
      <c r="G76" s="47">
        <v>1500</v>
      </c>
      <c r="H76" s="438">
        <f>SUM(J76:J84)</f>
        <v>13070.914279999999</v>
      </c>
      <c r="I76" s="50" t="s">
        <v>95</v>
      </c>
      <c r="J76" s="18">
        <f>3754970*1.18/1000</f>
        <v>4430.8645999999999</v>
      </c>
    </row>
    <row r="77" spans="1:10" ht="45" customHeight="1" x14ac:dyDescent="0.25">
      <c r="A77" s="395"/>
      <c r="B77" s="430"/>
      <c r="C77" s="430"/>
      <c r="D77" s="430"/>
      <c r="E77" s="430"/>
      <c r="F77" s="194" t="s">
        <v>96</v>
      </c>
      <c r="G77" s="52">
        <v>2708.9962799999998</v>
      </c>
      <c r="H77" s="420"/>
      <c r="I77" s="41" t="s">
        <v>19</v>
      </c>
      <c r="J77" s="53" t="s">
        <v>19</v>
      </c>
    </row>
    <row r="78" spans="1:10" ht="45" customHeight="1" x14ac:dyDescent="0.25">
      <c r="A78" s="395"/>
      <c r="B78" s="430"/>
      <c r="C78" s="430"/>
      <c r="D78" s="430"/>
      <c r="E78" s="430"/>
      <c r="F78" s="194" t="s">
        <v>97</v>
      </c>
      <c r="G78" s="191">
        <v>4430.8645999999999</v>
      </c>
      <c r="H78" s="420"/>
      <c r="I78" s="191" t="s">
        <v>19</v>
      </c>
      <c r="J78" s="40" t="s">
        <v>19</v>
      </c>
    </row>
    <row r="79" spans="1:10" ht="45" customHeight="1" x14ac:dyDescent="0.25">
      <c r="A79" s="395"/>
      <c r="B79" s="430"/>
      <c r="C79" s="430"/>
      <c r="D79" s="430"/>
      <c r="E79" s="430"/>
      <c r="F79" s="194" t="s">
        <v>189</v>
      </c>
      <c r="G79" s="52">
        <f>3043458.36/1000</f>
        <v>3043.4583600000001</v>
      </c>
      <c r="H79" s="420"/>
      <c r="I79" s="191" t="s">
        <v>156</v>
      </c>
      <c r="J79" s="201">
        <v>3043.4583600000001</v>
      </c>
    </row>
    <row r="80" spans="1:10" ht="45" customHeight="1" x14ac:dyDescent="0.25">
      <c r="A80" s="395"/>
      <c r="B80" s="430"/>
      <c r="C80" s="430"/>
      <c r="D80" s="430"/>
      <c r="E80" s="430"/>
      <c r="F80" s="194" t="s">
        <v>194</v>
      </c>
      <c r="G80" s="52">
        <f>3737886/1000</f>
        <v>3737.886</v>
      </c>
      <c r="H80" s="420"/>
      <c r="I80" s="191" t="s">
        <v>164</v>
      </c>
      <c r="J80" s="201">
        <v>3739.5533399999999</v>
      </c>
    </row>
    <row r="81" spans="1:10" ht="45" customHeight="1" x14ac:dyDescent="0.25">
      <c r="A81" s="395"/>
      <c r="B81" s="430"/>
      <c r="C81" s="430"/>
      <c r="D81" s="430"/>
      <c r="E81" s="430"/>
      <c r="F81" s="194"/>
      <c r="G81" s="52"/>
      <c r="H81" s="420"/>
      <c r="I81" s="191" t="s">
        <v>161</v>
      </c>
      <c r="J81" s="201">
        <v>-1.6673399999999998</v>
      </c>
    </row>
    <row r="82" spans="1:10" ht="45" customHeight="1" x14ac:dyDescent="0.25">
      <c r="A82" s="395"/>
      <c r="B82" s="430"/>
      <c r="C82" s="430"/>
      <c r="D82" s="430"/>
      <c r="E82" s="430"/>
      <c r="F82" s="194"/>
      <c r="G82" s="52"/>
      <c r="H82" s="420"/>
      <c r="I82" s="191" t="s">
        <v>173</v>
      </c>
      <c r="J82" s="201">
        <f>(311420/1000)*1.18</f>
        <v>367.47559999999999</v>
      </c>
    </row>
    <row r="83" spans="1:10" ht="45" customHeight="1" x14ac:dyDescent="0.25">
      <c r="A83" s="395"/>
      <c r="B83" s="430"/>
      <c r="C83" s="430"/>
      <c r="D83" s="430"/>
      <c r="E83" s="430"/>
      <c r="F83" s="194"/>
      <c r="G83" s="52"/>
      <c r="H83" s="420"/>
      <c r="I83" s="191" t="s">
        <v>174</v>
      </c>
      <c r="J83" s="201">
        <v>597.43399999999997</v>
      </c>
    </row>
    <row r="84" spans="1:10" ht="45" customHeight="1" x14ac:dyDescent="0.25">
      <c r="A84" s="395"/>
      <c r="B84" s="430"/>
      <c r="C84" s="430"/>
      <c r="D84" s="430"/>
      <c r="E84" s="430"/>
      <c r="F84" s="194"/>
      <c r="G84" s="52"/>
      <c r="H84" s="420"/>
      <c r="I84" s="150" t="s">
        <v>212</v>
      </c>
      <c r="J84" s="201">
        <v>893.79571999999996</v>
      </c>
    </row>
    <row r="85" spans="1:10" ht="45" customHeight="1" thickBot="1" x14ac:dyDescent="0.3">
      <c r="A85" s="396"/>
      <c r="B85" s="425" t="s">
        <v>206</v>
      </c>
      <c r="C85" s="426"/>
      <c r="D85" s="195" t="s">
        <v>19</v>
      </c>
      <c r="E85" s="195">
        <f>G85</f>
        <v>239.84057000000001</v>
      </c>
      <c r="F85" s="196" t="s">
        <v>19</v>
      </c>
      <c r="G85" s="45">
        <f>239840.57/1000</f>
        <v>239.84057000000001</v>
      </c>
      <c r="H85" s="21">
        <f>J85</f>
        <v>239.84057000000001</v>
      </c>
      <c r="I85" s="21" t="s">
        <v>19</v>
      </c>
      <c r="J85" s="202">
        <f>239840.57/1000</f>
        <v>239.84057000000001</v>
      </c>
    </row>
    <row r="86" spans="1:10" ht="36.75" customHeight="1" x14ac:dyDescent="0.25">
      <c r="A86" s="395" t="s">
        <v>98</v>
      </c>
      <c r="B86" s="420" t="s">
        <v>99</v>
      </c>
      <c r="C86" s="420" t="s">
        <v>100</v>
      </c>
      <c r="D86" s="420">
        <v>7619.37</v>
      </c>
      <c r="E86" s="420">
        <f>SUM(G86:G90)</f>
        <v>3434.7524900000003</v>
      </c>
      <c r="F86" s="194" t="s">
        <v>101</v>
      </c>
      <c r="G86" s="52">
        <f>649436.5/1000</f>
        <v>649.43650000000002</v>
      </c>
      <c r="H86" s="420">
        <f>SUM(J86:J90)</f>
        <v>3537.0861315999996</v>
      </c>
      <c r="I86" s="412" t="s">
        <v>102</v>
      </c>
      <c r="J86" s="192">
        <f>2175878.11*1.18/1000</f>
        <v>2567.5361697999997</v>
      </c>
    </row>
    <row r="87" spans="1:10" ht="36.75" customHeight="1" x14ac:dyDescent="0.25">
      <c r="A87" s="395"/>
      <c r="B87" s="420"/>
      <c r="C87" s="420"/>
      <c r="D87" s="420"/>
      <c r="E87" s="420"/>
      <c r="F87" s="120" t="s">
        <v>103</v>
      </c>
      <c r="G87" s="52">
        <f>198557.68/1000</f>
        <v>198.55768</v>
      </c>
      <c r="H87" s="420"/>
      <c r="I87" s="408"/>
      <c r="J87" s="171">
        <f>19222.141/1000</f>
        <v>19.222141000000001</v>
      </c>
    </row>
    <row r="88" spans="1:10" ht="45" customHeight="1" x14ac:dyDescent="0.25">
      <c r="A88" s="395"/>
      <c r="B88" s="420"/>
      <c r="C88" s="420"/>
      <c r="D88" s="420"/>
      <c r="E88" s="420"/>
      <c r="F88" s="120" t="s">
        <v>104</v>
      </c>
      <c r="G88" s="52">
        <v>2586.7583100000002</v>
      </c>
      <c r="H88" s="420"/>
      <c r="I88" s="413" t="s">
        <v>105</v>
      </c>
      <c r="J88" s="53">
        <v>780.10994159999996</v>
      </c>
    </row>
    <row r="89" spans="1:10" ht="36.75" customHeight="1" x14ac:dyDescent="0.25">
      <c r="A89" s="395"/>
      <c r="B89" s="420"/>
      <c r="C89" s="420"/>
      <c r="D89" s="420"/>
      <c r="E89" s="420"/>
      <c r="F89" s="130" t="s">
        <v>19</v>
      </c>
      <c r="G89" s="131" t="s">
        <v>19</v>
      </c>
      <c r="H89" s="420"/>
      <c r="I89" s="412"/>
      <c r="J89" s="40">
        <v>62.646070199999997</v>
      </c>
    </row>
    <row r="90" spans="1:10" ht="36.75" customHeight="1" thickBot="1" x14ac:dyDescent="0.3">
      <c r="A90" s="112"/>
      <c r="B90" s="424"/>
      <c r="C90" s="424"/>
      <c r="D90" s="424"/>
      <c r="E90" s="424"/>
      <c r="F90" s="120" t="s">
        <v>19</v>
      </c>
      <c r="G90" s="52" t="s">
        <v>19</v>
      </c>
      <c r="H90" s="424"/>
      <c r="I90" s="109" t="s">
        <v>155</v>
      </c>
      <c r="J90" s="53">
        <v>107.57180899999999</v>
      </c>
    </row>
    <row r="91" spans="1:10" ht="45" customHeight="1" x14ac:dyDescent="0.25">
      <c r="A91" s="416" t="s">
        <v>106</v>
      </c>
      <c r="B91" s="416" t="s">
        <v>107</v>
      </c>
      <c r="C91" s="416" t="s">
        <v>108</v>
      </c>
      <c r="D91" s="416">
        <v>6769.35</v>
      </c>
      <c r="E91" s="416">
        <f>SUM(G91:G93)</f>
        <v>2783.8772600000002</v>
      </c>
      <c r="F91" s="132" t="s">
        <v>109</v>
      </c>
      <c r="G91" s="47">
        <f>79484.74/1000</f>
        <v>79.484740000000002</v>
      </c>
      <c r="H91" s="416">
        <f>SUM(J91:J96)</f>
        <v>5835.1024897999996</v>
      </c>
      <c r="I91" s="438" t="s">
        <v>102</v>
      </c>
      <c r="J91" s="54">
        <f>1651360.6*1.18/1000</f>
        <v>1948.6055079999999</v>
      </c>
    </row>
    <row r="92" spans="1:10" ht="45" customHeight="1" x14ac:dyDescent="0.25">
      <c r="A92" s="417"/>
      <c r="B92" s="417"/>
      <c r="C92" s="417"/>
      <c r="D92" s="417"/>
      <c r="E92" s="417"/>
      <c r="F92" s="120" t="s">
        <v>110</v>
      </c>
      <c r="G92" s="52">
        <f>697128.27/1000</f>
        <v>697.12827000000004</v>
      </c>
      <c r="H92" s="417"/>
      <c r="I92" s="412"/>
      <c r="J92" s="53">
        <f>58658.744/1000</f>
        <v>58.658743999999999</v>
      </c>
    </row>
    <row r="93" spans="1:10" ht="45" customHeight="1" x14ac:dyDescent="0.25">
      <c r="A93" s="417"/>
      <c r="B93" s="417"/>
      <c r="C93" s="417"/>
      <c r="D93" s="417"/>
      <c r="E93" s="417"/>
      <c r="F93" s="120" t="s">
        <v>111</v>
      </c>
      <c r="G93" s="52">
        <v>2007.2642499999999</v>
      </c>
      <c r="H93" s="417"/>
      <c r="I93" s="131" t="s">
        <v>19</v>
      </c>
      <c r="J93" s="53" t="s">
        <v>19</v>
      </c>
    </row>
    <row r="94" spans="1:10" ht="45" customHeight="1" x14ac:dyDescent="0.25">
      <c r="A94" s="417"/>
      <c r="B94" s="417"/>
      <c r="C94" s="417"/>
      <c r="D94" s="417"/>
      <c r="E94" s="417"/>
      <c r="F94" s="120" t="s">
        <v>19</v>
      </c>
      <c r="G94" s="52" t="s">
        <v>19</v>
      </c>
      <c r="H94" s="417"/>
      <c r="I94" s="110" t="s">
        <v>155</v>
      </c>
      <c r="J94" s="154">
        <v>228.97817399999997</v>
      </c>
    </row>
    <row r="95" spans="1:10" ht="45" customHeight="1" x14ac:dyDescent="0.25">
      <c r="A95" s="417"/>
      <c r="B95" s="417"/>
      <c r="C95" s="417"/>
      <c r="D95" s="417"/>
      <c r="E95" s="417"/>
      <c r="F95" s="168"/>
      <c r="G95" s="52"/>
      <c r="H95" s="417"/>
      <c r="I95" s="169" t="s">
        <v>155</v>
      </c>
      <c r="J95" s="154">
        <v>1916.5643189999998</v>
      </c>
    </row>
    <row r="96" spans="1:10" ht="45" customHeight="1" thickBot="1" x14ac:dyDescent="0.3">
      <c r="A96" s="449"/>
      <c r="B96" s="449"/>
      <c r="C96" s="449"/>
      <c r="D96" s="449"/>
      <c r="E96" s="449"/>
      <c r="F96" s="120" t="s">
        <v>19</v>
      </c>
      <c r="G96" s="52" t="s">
        <v>19</v>
      </c>
      <c r="H96" s="449"/>
      <c r="I96" s="183" t="s">
        <v>212</v>
      </c>
      <c r="J96" s="154">
        <v>1682.2957448</v>
      </c>
    </row>
    <row r="97" spans="1:10" ht="60" customHeight="1" x14ac:dyDescent="0.25">
      <c r="A97" s="435" t="s">
        <v>112</v>
      </c>
      <c r="B97" s="123" t="s">
        <v>113</v>
      </c>
      <c r="C97" s="123" t="s">
        <v>114</v>
      </c>
      <c r="D97" s="108">
        <f>12730535.39/1000</f>
        <v>12730.535390000001</v>
      </c>
      <c r="E97" s="108">
        <f>SUM(G97:G97)</f>
        <v>3384.1592099999998</v>
      </c>
      <c r="F97" s="132" t="s">
        <v>115</v>
      </c>
      <c r="G97" s="133">
        <f>3384159.21/1000</f>
        <v>3384.1592099999998</v>
      </c>
      <c r="H97" s="108">
        <f>SUM(J97:J97)</f>
        <v>0</v>
      </c>
      <c r="I97" s="133" t="s">
        <v>19</v>
      </c>
      <c r="J97" s="18" t="s">
        <v>19</v>
      </c>
    </row>
    <row r="98" spans="1:10" ht="75.75" customHeight="1" thickBot="1" x14ac:dyDescent="0.3">
      <c r="A98" s="395"/>
      <c r="B98" s="19" t="s">
        <v>113</v>
      </c>
      <c r="C98" s="19" t="s">
        <v>116</v>
      </c>
      <c r="D98" s="21">
        <v>19677.026999999998</v>
      </c>
      <c r="E98" s="21">
        <f>SUM(G98:G98)</f>
        <v>7747.4874499999996</v>
      </c>
      <c r="F98" s="121" t="s">
        <v>117</v>
      </c>
      <c r="G98" s="45">
        <v>7747.4874499999996</v>
      </c>
      <c r="H98" s="21">
        <f>SUM(J98:J98)</f>
        <v>0</v>
      </c>
      <c r="I98" s="122" t="s">
        <v>19</v>
      </c>
      <c r="J98" s="55" t="s">
        <v>19</v>
      </c>
    </row>
    <row r="99" spans="1:10" ht="75.75" customHeight="1" x14ac:dyDescent="0.25">
      <c r="A99" s="395"/>
      <c r="B99" s="438" t="s">
        <v>107</v>
      </c>
      <c r="C99" s="438" t="s">
        <v>152</v>
      </c>
      <c r="D99" s="438">
        <v>6856.6313499999997</v>
      </c>
      <c r="E99" s="438">
        <f>SUM(G99:G101)</f>
        <v>2688.4149500000003</v>
      </c>
      <c r="F99" s="130" t="s">
        <v>193</v>
      </c>
      <c r="G99" s="155">
        <f>2437856.31/1000</f>
        <v>2437.8563100000001</v>
      </c>
      <c r="H99" s="438">
        <f>SUM(J99:J102)</f>
        <v>6579.8850367999994</v>
      </c>
      <c r="I99" s="109" t="s">
        <v>154</v>
      </c>
      <c r="J99" s="156">
        <v>250.55863939999998</v>
      </c>
    </row>
    <row r="100" spans="1:10" ht="75.75" customHeight="1" thickBot="1" x14ac:dyDescent="0.3">
      <c r="A100" s="396"/>
      <c r="B100" s="420"/>
      <c r="C100" s="420"/>
      <c r="D100" s="420"/>
      <c r="E100" s="420"/>
      <c r="F100" s="130" t="s">
        <v>192</v>
      </c>
      <c r="G100" s="131">
        <f>250558.64/1000</f>
        <v>250.55864000000003</v>
      </c>
      <c r="H100" s="420"/>
      <c r="I100" s="131" t="s">
        <v>153</v>
      </c>
      <c r="J100" s="131">
        <v>2437.8563055999998</v>
      </c>
    </row>
    <row r="101" spans="1:10" ht="75.75" customHeight="1" x14ac:dyDescent="0.25">
      <c r="A101" s="112"/>
      <c r="B101" s="420"/>
      <c r="C101" s="420"/>
      <c r="D101" s="420"/>
      <c r="E101" s="420"/>
      <c r="F101" s="130"/>
      <c r="G101" s="131"/>
      <c r="H101" s="420"/>
      <c r="I101" s="131" t="s">
        <v>172</v>
      </c>
      <c r="J101" s="157">
        <f>(1656886.81/1000)*1.18</f>
        <v>1955.1264357999999</v>
      </c>
    </row>
    <row r="102" spans="1:10" ht="75.75" customHeight="1" thickBot="1" x14ac:dyDescent="0.3">
      <c r="A102" s="167"/>
      <c r="B102" s="412"/>
      <c r="C102" s="412"/>
      <c r="D102" s="412"/>
      <c r="E102" s="412"/>
      <c r="F102" s="170"/>
      <c r="G102" s="171"/>
      <c r="H102" s="412"/>
      <c r="I102" s="184" t="s">
        <v>216</v>
      </c>
      <c r="J102" s="157">
        <v>1936.343656</v>
      </c>
    </row>
    <row r="103" spans="1:10" ht="33.75" customHeight="1" x14ac:dyDescent="0.25">
      <c r="A103" s="435" t="s">
        <v>118</v>
      </c>
      <c r="B103" s="462" t="s">
        <v>119</v>
      </c>
      <c r="C103" s="462" t="s">
        <v>120</v>
      </c>
      <c r="D103" s="413">
        <v>5063.8999999999996</v>
      </c>
      <c r="E103" s="413">
        <f>SUM(G103:G104)</f>
        <v>4169.2383799999998</v>
      </c>
      <c r="F103" s="130" t="s">
        <v>121</v>
      </c>
      <c r="G103" s="131">
        <f>3215238.38/1000</f>
        <v>3215.2383799999998</v>
      </c>
      <c r="H103" s="413">
        <f>SUM(J103:J104)</f>
        <v>0</v>
      </c>
      <c r="I103" s="131" t="s">
        <v>19</v>
      </c>
      <c r="J103" s="28" t="s">
        <v>19</v>
      </c>
    </row>
    <row r="104" spans="1:10" ht="33.75" customHeight="1" thickBot="1" x14ac:dyDescent="0.3">
      <c r="A104" s="396"/>
      <c r="B104" s="398"/>
      <c r="C104" s="398"/>
      <c r="D104" s="424"/>
      <c r="E104" s="424"/>
      <c r="F104" s="121" t="s">
        <v>122</v>
      </c>
      <c r="G104" s="122">
        <f>954000/1000</f>
        <v>954</v>
      </c>
      <c r="H104" s="424"/>
      <c r="I104" s="21" t="s">
        <v>19</v>
      </c>
      <c r="J104" s="23" t="s">
        <v>19</v>
      </c>
    </row>
    <row r="105" spans="1:10" s="8" customFormat="1" ht="42.75" customHeight="1" thickBot="1" x14ac:dyDescent="0.3">
      <c r="A105" s="111" t="s">
        <v>123</v>
      </c>
      <c r="B105" s="123" t="s">
        <v>124</v>
      </c>
      <c r="C105" s="46" t="s">
        <v>125</v>
      </c>
      <c r="D105" s="108">
        <v>692.40700000000004</v>
      </c>
      <c r="E105" s="108">
        <f>SUM(G105:G105)</f>
        <v>344.08287999999999</v>
      </c>
      <c r="F105" s="132" t="s">
        <v>126</v>
      </c>
      <c r="G105" s="133">
        <f>344082.88/1000</f>
        <v>344.08287999999999</v>
      </c>
      <c r="H105" s="108">
        <f>SUM(J105:J105)</f>
        <v>0</v>
      </c>
      <c r="I105" s="132" t="s">
        <v>19</v>
      </c>
      <c r="J105" s="18" t="s">
        <v>19</v>
      </c>
    </row>
    <row r="106" spans="1:10" s="8" customFormat="1" ht="16.5" customHeight="1" thickBot="1" x14ac:dyDescent="0.3">
      <c r="A106" s="32" t="s">
        <v>127</v>
      </c>
      <c r="B106" s="33"/>
      <c r="C106" s="33"/>
      <c r="D106" s="33"/>
      <c r="E106" s="34">
        <f>SUM(E27:E105)</f>
        <v>181474.50873000003</v>
      </c>
      <c r="F106" s="37"/>
      <c r="G106" s="34">
        <f>SUM(G27:G105)</f>
        <v>181474.50873000003</v>
      </c>
      <c r="H106" s="34">
        <f>SUM(H27:H105)</f>
        <v>76465.207852799998</v>
      </c>
      <c r="I106" s="37"/>
      <c r="J106" s="36">
        <f>SUM(J27:J105)</f>
        <v>76465.207852799984</v>
      </c>
    </row>
    <row r="107" spans="1:10" s="8" customFormat="1" ht="36.75" customHeight="1" thickBot="1" x14ac:dyDescent="0.3">
      <c r="A107" s="32" t="s">
        <v>128</v>
      </c>
      <c r="B107" s="33"/>
      <c r="C107" s="33"/>
      <c r="D107" s="33"/>
      <c r="E107" s="34">
        <f>G107</f>
        <v>16164.95379663217</v>
      </c>
      <c r="F107" s="35"/>
      <c r="G107" s="34">
        <f>J107</f>
        <v>16164.95379663217</v>
      </c>
      <c r="H107" s="34">
        <f>J107</f>
        <v>16164.95379663217</v>
      </c>
      <c r="I107" s="37"/>
      <c r="J107" s="36">
        <v>16164.95379663217</v>
      </c>
    </row>
    <row r="108" spans="1:10" s="8" customFormat="1" ht="32.25" thickBot="1" x14ac:dyDescent="0.3">
      <c r="A108" s="32" t="s">
        <v>129</v>
      </c>
      <c r="B108" s="33"/>
      <c r="C108" s="33"/>
      <c r="D108" s="33"/>
      <c r="E108" s="34">
        <f>E106+E107</f>
        <v>197639.46252663221</v>
      </c>
      <c r="F108" s="35"/>
      <c r="G108" s="34">
        <f>G106+G107</f>
        <v>197639.46252663221</v>
      </c>
      <c r="H108" s="34">
        <f>H106+H107</f>
        <v>92630.161649432164</v>
      </c>
      <c r="I108" s="37"/>
      <c r="J108" s="36">
        <f>J106+J107</f>
        <v>92630.16164943215</v>
      </c>
    </row>
    <row r="109" spans="1:10" s="8" customFormat="1" ht="48" thickBot="1" x14ac:dyDescent="0.3">
      <c r="A109" s="32" t="s">
        <v>130</v>
      </c>
      <c r="B109" s="33"/>
      <c r="C109" s="33"/>
      <c r="D109" s="33"/>
      <c r="E109" s="34">
        <f>E25+E108</f>
        <v>250484.22248000925</v>
      </c>
      <c r="F109" s="37"/>
      <c r="G109" s="34">
        <f>G25+G108</f>
        <v>250484.22248000925</v>
      </c>
      <c r="H109" s="34">
        <f>H25+H108</f>
        <v>95708.119119209208</v>
      </c>
      <c r="I109" s="37"/>
      <c r="J109" s="36">
        <f>J25+J108</f>
        <v>95708.119119209194</v>
      </c>
    </row>
    <row r="110" spans="1:10" s="8" customFormat="1" ht="15.75" x14ac:dyDescent="0.25">
      <c r="A110" s="57"/>
      <c r="B110" s="57"/>
      <c r="C110" s="57"/>
      <c r="D110" s="57"/>
      <c r="E110" s="58"/>
      <c r="F110" s="4"/>
      <c r="G110" s="58"/>
      <c r="H110" s="58"/>
      <c r="I110" s="4"/>
      <c r="J110" s="58"/>
    </row>
    <row r="111" spans="1:10" s="8" customFormat="1" ht="15.75" x14ac:dyDescent="0.25">
      <c r="A111" s="57"/>
      <c r="B111" s="57"/>
      <c r="C111" s="57"/>
      <c r="D111" s="57"/>
      <c r="E111" s="58"/>
      <c r="F111" s="4"/>
      <c r="G111" s="58"/>
      <c r="H111" s="58"/>
      <c r="I111" s="4"/>
      <c r="J111" s="58"/>
    </row>
    <row r="113" spans="1:9" ht="15.75" x14ac:dyDescent="0.25">
      <c r="A113" s="545" t="s">
        <v>217</v>
      </c>
      <c r="B113" s="545"/>
      <c r="C113" s="545"/>
      <c r="D113" s="546"/>
      <c r="E113" s="546"/>
    </row>
    <row r="114" spans="1:9" ht="15.75" x14ac:dyDescent="0.25">
      <c r="A114" s="547" t="s">
        <v>132</v>
      </c>
      <c r="B114" s="547"/>
      <c r="C114" s="547"/>
      <c r="D114" s="548"/>
      <c r="E114" s="548"/>
    </row>
    <row r="115" spans="1:9" ht="15.75" x14ac:dyDescent="0.25">
      <c r="A115" s="547" t="s">
        <v>133</v>
      </c>
      <c r="B115" s="547"/>
      <c r="C115" s="547"/>
      <c r="D115" s="547"/>
      <c r="E115" s="158"/>
      <c r="G115" s="140"/>
    </row>
    <row r="116" spans="1:9" ht="16.5" thickBot="1" x14ac:dyDescent="0.3">
      <c r="A116" s="159"/>
      <c r="B116" s="159"/>
      <c r="C116" s="544"/>
      <c r="D116" s="544"/>
      <c r="E116" s="158"/>
      <c r="F116"/>
      <c r="G116"/>
    </row>
    <row r="117" spans="1:9" ht="16.5" thickBot="1" x14ac:dyDescent="0.3">
      <c r="A117" s="160" t="s">
        <v>134</v>
      </c>
      <c r="B117" s="161" t="s">
        <v>135</v>
      </c>
      <c r="C117" s="551" t="s">
        <v>136</v>
      </c>
      <c r="D117" s="552"/>
      <c r="E117" s="158"/>
      <c r="F117"/>
      <c r="G117"/>
    </row>
    <row r="118" spans="1:9" ht="16.5" thickBot="1" x14ac:dyDescent="0.3">
      <c r="A118" s="162"/>
      <c r="B118" s="163"/>
      <c r="C118" s="551"/>
      <c r="D118" s="552"/>
      <c r="E118" s="158"/>
      <c r="F118"/>
      <c r="G118"/>
    </row>
    <row r="119" spans="1:9" ht="30.75" thickBot="1" x14ac:dyDescent="0.3">
      <c r="A119" s="164" t="s">
        <v>137</v>
      </c>
      <c r="B119" s="207">
        <v>95638.12</v>
      </c>
      <c r="C119" s="401">
        <v>250484.22</v>
      </c>
      <c r="D119" s="402"/>
      <c r="E119" s="158"/>
      <c r="F119"/>
      <c r="G119"/>
    </row>
    <row r="120" spans="1:9" ht="20.25" customHeight="1" thickBot="1" x14ac:dyDescent="0.3">
      <c r="A120" s="164" t="s">
        <v>138</v>
      </c>
      <c r="B120" s="207">
        <v>194621.99</v>
      </c>
      <c r="C120" s="401">
        <v>194621.99</v>
      </c>
      <c r="D120" s="402"/>
      <c r="E120" s="158"/>
      <c r="F120"/>
      <c r="G120"/>
    </row>
    <row r="121" spans="1:9" ht="30.75" thickBot="1" x14ac:dyDescent="0.3">
      <c r="A121" s="164" t="s">
        <v>139</v>
      </c>
      <c r="B121" s="207">
        <v>60224.17</v>
      </c>
      <c r="C121" s="401">
        <v>60915.88</v>
      </c>
      <c r="D121" s="402"/>
      <c r="E121" s="158"/>
      <c r="F121"/>
      <c r="G121"/>
    </row>
    <row r="122" spans="1:9" ht="16.5" thickBot="1" x14ac:dyDescent="0.3">
      <c r="A122" s="165" t="s">
        <v>140</v>
      </c>
      <c r="B122" s="208">
        <v>770.23</v>
      </c>
      <c r="C122" s="549">
        <v>1021.07</v>
      </c>
      <c r="D122" s="553"/>
      <c r="E122" s="158"/>
      <c r="F122"/>
      <c r="G122"/>
    </row>
    <row r="123" spans="1:9" ht="16.5" thickBot="1" x14ac:dyDescent="0.3">
      <c r="A123" s="165" t="s">
        <v>141</v>
      </c>
      <c r="B123" s="209">
        <v>59453.94</v>
      </c>
      <c r="C123" s="549">
        <v>59894.82</v>
      </c>
      <c r="D123" s="550"/>
      <c r="E123" s="158"/>
      <c r="F123"/>
      <c r="G123"/>
    </row>
    <row r="124" spans="1:9" ht="91.5" customHeight="1" thickBot="1" x14ac:dyDescent="0.3">
      <c r="A124" s="164" t="s">
        <v>147</v>
      </c>
      <c r="B124" s="210">
        <v>235615.86</v>
      </c>
      <c r="C124" s="554">
        <v>228547.38</v>
      </c>
      <c r="D124" s="555"/>
      <c r="E124" s="166"/>
      <c r="F124"/>
      <c r="G124"/>
    </row>
    <row r="125" spans="1:9" ht="34.5" customHeight="1" thickBot="1" x14ac:dyDescent="0.3">
      <c r="A125" s="164" t="s">
        <v>143</v>
      </c>
      <c r="B125" s="207">
        <v>24312.89</v>
      </c>
      <c r="C125" s="401">
        <v>22313.35</v>
      </c>
      <c r="D125" s="402"/>
      <c r="E125" s="158"/>
      <c r="F125"/>
      <c r="G125"/>
    </row>
    <row r="126" spans="1:9" ht="45.75" thickBot="1" x14ac:dyDescent="0.3">
      <c r="A126" s="164" t="s">
        <v>144</v>
      </c>
      <c r="B126" s="207">
        <v>23151.919999999998</v>
      </c>
      <c r="C126" s="401">
        <v>-23181.31</v>
      </c>
      <c r="D126" s="402"/>
      <c r="E126" s="158"/>
      <c r="F126"/>
      <c r="G126"/>
      <c r="H126" s="140"/>
      <c r="I126" s="140"/>
    </row>
    <row r="127" spans="1:9" ht="30.75" thickBot="1" x14ac:dyDescent="0.3">
      <c r="A127" s="165" t="s">
        <v>145</v>
      </c>
      <c r="B127" s="209">
        <v>12789.48</v>
      </c>
      <c r="C127" s="549">
        <v>55044.03</v>
      </c>
      <c r="D127" s="550"/>
      <c r="E127" s="158"/>
      <c r="F127"/>
      <c r="G127"/>
      <c r="H127" s="140"/>
      <c r="I127" s="140"/>
    </row>
    <row r="128" spans="1:9" ht="24" customHeight="1" thickBot="1" x14ac:dyDescent="0.3">
      <c r="A128" s="165" t="s">
        <v>146</v>
      </c>
      <c r="B128" s="209">
        <v>35941.4</v>
      </c>
      <c r="C128" s="549">
        <v>31862.720000000001</v>
      </c>
      <c r="D128" s="550"/>
      <c r="E128" s="158"/>
      <c r="F128"/>
      <c r="G128"/>
      <c r="H128" s="140"/>
      <c r="I128" s="140"/>
    </row>
    <row r="129" spans="1:10" x14ac:dyDescent="0.25">
      <c r="B129" s="211"/>
      <c r="D129" s="211"/>
      <c r="E129" s="140"/>
      <c r="F129"/>
      <c r="G129"/>
      <c r="H129" s="140"/>
      <c r="I129" s="140"/>
    </row>
    <row r="130" spans="1:10" x14ac:dyDescent="0.25">
      <c r="E130" s="140"/>
      <c r="F130"/>
      <c r="G130"/>
      <c r="H130" s="140"/>
      <c r="I130" s="140"/>
    </row>
    <row r="131" spans="1:10" ht="48" customHeight="1" x14ac:dyDescent="0.25">
      <c r="A131" s="73" t="s">
        <v>148</v>
      </c>
      <c r="B131" s="74"/>
      <c r="C131" s="75" t="s">
        <v>149</v>
      </c>
      <c r="J131" s="1"/>
    </row>
    <row r="132" spans="1:10" ht="18" x14ac:dyDescent="0.25">
      <c r="A132" s="75"/>
      <c r="B132" s="75"/>
      <c r="C132" s="75"/>
      <c r="J132" s="1"/>
    </row>
    <row r="133" spans="1:10" ht="44.25" customHeight="1" x14ac:dyDescent="0.25">
      <c r="A133" s="75" t="s">
        <v>150</v>
      </c>
      <c r="B133" s="75"/>
      <c r="C133" s="75" t="s">
        <v>151</v>
      </c>
      <c r="J133" s="1"/>
    </row>
  </sheetData>
  <autoFilter ref="A7:J109"/>
  <mergeCells count="99">
    <mergeCell ref="A27:A62"/>
    <mergeCell ref="B76:B84"/>
    <mergeCell ref="B85:C85"/>
    <mergeCell ref="C76:C84"/>
    <mergeCell ref="A64:A68"/>
    <mergeCell ref="A70:A74"/>
    <mergeCell ref="B72:B74"/>
    <mergeCell ref="C72:C74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A12:A21"/>
    <mergeCell ref="E15:E18"/>
    <mergeCell ref="B15:B18"/>
    <mergeCell ref="C15:C18"/>
    <mergeCell ref="D15:D18"/>
    <mergeCell ref="B21:C21"/>
    <mergeCell ref="H15:H17"/>
    <mergeCell ref="H27:H38"/>
    <mergeCell ref="B39:B44"/>
    <mergeCell ref="C39:C44"/>
    <mergeCell ref="D39:D44"/>
    <mergeCell ref="E39:E46"/>
    <mergeCell ref="B27:B38"/>
    <mergeCell ref="C27:C38"/>
    <mergeCell ref="D27:D38"/>
    <mergeCell ref="E27:E38"/>
    <mergeCell ref="H47:H61"/>
    <mergeCell ref="H64:H66"/>
    <mergeCell ref="B67:C67"/>
    <mergeCell ref="H39:H46"/>
    <mergeCell ref="F50:F51"/>
    <mergeCell ref="B64:B65"/>
    <mergeCell ref="C64:C65"/>
    <mergeCell ref="D64:D65"/>
    <mergeCell ref="E64:E65"/>
    <mergeCell ref="E47:E61"/>
    <mergeCell ref="B47:B61"/>
    <mergeCell ref="C47:C61"/>
    <mergeCell ref="D47:D61"/>
    <mergeCell ref="B62:C62"/>
    <mergeCell ref="D72:D74"/>
    <mergeCell ref="E72:E74"/>
    <mergeCell ref="A86:A89"/>
    <mergeCell ref="A76:A85"/>
    <mergeCell ref="D76:D84"/>
    <mergeCell ref="E76:E84"/>
    <mergeCell ref="H76:H84"/>
    <mergeCell ref="B86:B90"/>
    <mergeCell ref="C86:C90"/>
    <mergeCell ref="D86:D90"/>
    <mergeCell ref="A91:A96"/>
    <mergeCell ref="B91:B96"/>
    <mergeCell ref="C91:C96"/>
    <mergeCell ref="D91:D96"/>
    <mergeCell ref="I86:I87"/>
    <mergeCell ref="I88:I89"/>
    <mergeCell ref="E91:E96"/>
    <mergeCell ref="H91:H96"/>
    <mergeCell ref="I91:I92"/>
    <mergeCell ref="H86:H90"/>
    <mergeCell ref="E86:E90"/>
    <mergeCell ref="H103:H104"/>
    <mergeCell ref="A97:A100"/>
    <mergeCell ref="E103:E104"/>
    <mergeCell ref="H99:H102"/>
    <mergeCell ref="E99:E102"/>
    <mergeCell ref="B99:B102"/>
    <mergeCell ref="C99:C102"/>
    <mergeCell ref="D99:D102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16:D116"/>
    <mergeCell ref="A103:A104"/>
    <mergeCell ref="B103:B104"/>
    <mergeCell ref="C103:C104"/>
    <mergeCell ref="D103:D104"/>
    <mergeCell ref="A113:C113"/>
    <mergeCell ref="D113:E113"/>
    <mergeCell ref="A114:C114"/>
    <mergeCell ref="D114:E114"/>
    <mergeCell ref="A115:D115"/>
  </mergeCells>
  <pageMargins left="0" right="0" top="0" bottom="0" header="0" footer="0"/>
  <pageSetup paperSize="9" scale="45" fitToWidth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24"/>
  <sheetViews>
    <sheetView topLeftCell="A13" zoomScale="85" zoomScaleNormal="85" workbookViewId="0">
      <selection activeCell="K21" sqref="K21"/>
    </sheetView>
  </sheetViews>
  <sheetFormatPr defaultRowHeight="15" x14ac:dyDescent="0.25"/>
  <cols>
    <col min="1" max="1" width="9.140625" style="7"/>
    <col min="2" max="2" width="48.42578125" style="60" customWidth="1"/>
    <col min="3" max="3" width="23.7109375" style="6" customWidth="1"/>
    <col min="4" max="4" width="14.85546875" style="6" customWidth="1"/>
    <col min="5" max="5" width="17.7109375" style="6" customWidth="1"/>
    <col min="6" max="6" width="18.42578125" style="6" customWidth="1"/>
    <col min="7" max="7" width="17" style="6" customWidth="1"/>
    <col min="8" max="8" width="16.7109375" style="6" customWidth="1"/>
    <col min="9" max="9" width="19.85546875" style="6" customWidth="1"/>
    <col min="10" max="10" width="18" style="6" customWidth="1"/>
    <col min="11" max="11" width="17" style="59" customWidth="1"/>
    <col min="12" max="14" width="9.140625" style="6"/>
    <col min="15" max="16384" width="9.140625" style="7"/>
  </cols>
  <sheetData>
    <row r="1" spans="1:14" ht="28.5" customHeight="1" x14ac:dyDescent="0.25">
      <c r="A1" s="1"/>
      <c r="B1" s="2"/>
      <c r="C1" s="1"/>
      <c r="D1" s="1"/>
      <c r="E1" s="1"/>
      <c r="F1" s="1"/>
      <c r="G1" s="3"/>
      <c r="H1" s="4"/>
      <c r="I1" s="5"/>
      <c r="J1" s="4"/>
      <c r="K1" s="4"/>
    </row>
    <row r="2" spans="1:14" ht="15.75" x14ac:dyDescent="0.25">
      <c r="A2" s="8"/>
      <c r="B2" s="467" t="s">
        <v>0</v>
      </c>
      <c r="C2" s="467"/>
      <c r="D2" s="467"/>
      <c r="E2" s="467"/>
      <c r="F2" s="467"/>
      <c r="G2" s="467"/>
      <c r="H2" s="467"/>
      <c r="I2" s="467"/>
      <c r="J2" s="467"/>
      <c r="K2" s="467"/>
    </row>
    <row r="3" spans="1:14" ht="15.75" x14ac:dyDescent="0.25">
      <c r="A3" s="8"/>
      <c r="B3" s="468" t="s">
        <v>1</v>
      </c>
      <c r="C3" s="468"/>
      <c r="D3" s="468"/>
      <c r="E3" s="468"/>
      <c r="F3" s="468"/>
      <c r="G3" s="468"/>
      <c r="H3" s="468"/>
      <c r="I3" s="468"/>
      <c r="J3" s="468"/>
      <c r="K3" s="468"/>
    </row>
    <row r="4" spans="1:14" ht="15.75" x14ac:dyDescent="0.25">
      <c r="A4" s="8"/>
      <c r="B4" s="469" t="s">
        <v>2</v>
      </c>
      <c r="C4" s="469"/>
      <c r="D4" s="469"/>
      <c r="E4" s="469"/>
      <c r="F4" s="469"/>
      <c r="G4" s="469"/>
      <c r="H4" s="469"/>
      <c r="I4" s="469"/>
      <c r="J4" s="469"/>
      <c r="K4" s="469"/>
    </row>
    <row r="5" spans="1:14" ht="16.5" thickBot="1" x14ac:dyDescent="0.3">
      <c r="A5" s="8"/>
      <c r="B5" s="9"/>
      <c r="C5" s="10"/>
      <c r="D5" s="10"/>
      <c r="E5" s="10"/>
      <c r="F5" s="10"/>
      <c r="G5" s="10"/>
      <c r="H5" s="10"/>
      <c r="I5" s="10"/>
      <c r="J5" s="10"/>
      <c r="K5" s="11"/>
    </row>
    <row r="6" spans="1:14" ht="15.75" x14ac:dyDescent="0.25">
      <c r="A6" s="8"/>
      <c r="B6" s="470" t="s">
        <v>3</v>
      </c>
      <c r="C6" s="472" t="s">
        <v>4</v>
      </c>
      <c r="D6" s="473"/>
      <c r="E6" s="474" t="s">
        <v>5</v>
      </c>
      <c r="F6" s="474" t="s">
        <v>6</v>
      </c>
      <c r="G6" s="476" t="s">
        <v>7</v>
      </c>
      <c r="H6" s="477"/>
      <c r="I6" s="478" t="s">
        <v>8</v>
      </c>
      <c r="J6" s="480" t="s">
        <v>9</v>
      </c>
      <c r="K6" s="481"/>
    </row>
    <row r="7" spans="1:14" ht="64.5" customHeight="1" thickBot="1" x14ac:dyDescent="0.3">
      <c r="A7" s="8"/>
      <c r="B7" s="471"/>
      <c r="C7" s="12" t="s">
        <v>10</v>
      </c>
      <c r="D7" s="12" t="s">
        <v>11</v>
      </c>
      <c r="E7" s="475"/>
      <c r="F7" s="475"/>
      <c r="G7" s="13" t="s">
        <v>12</v>
      </c>
      <c r="H7" s="14" t="s">
        <v>13</v>
      </c>
      <c r="I7" s="479"/>
      <c r="J7" s="13" t="s">
        <v>12</v>
      </c>
      <c r="K7" s="15" t="s">
        <v>13</v>
      </c>
    </row>
    <row r="8" spans="1:14" ht="16.5" thickBot="1" x14ac:dyDescent="0.3">
      <c r="A8" s="8"/>
      <c r="B8" s="39" t="s">
        <v>14</v>
      </c>
      <c r="C8" s="86"/>
      <c r="D8" s="86"/>
      <c r="E8" s="86"/>
      <c r="F8" s="86"/>
      <c r="G8" s="86"/>
      <c r="H8" s="86"/>
      <c r="I8" s="86"/>
      <c r="J8" s="86"/>
      <c r="K8" s="87"/>
    </row>
    <row r="9" spans="1:14" s="8" customFormat="1" ht="60.75" customHeight="1" thickBot="1" x14ac:dyDescent="0.3">
      <c r="B9" s="88" t="s">
        <v>15</v>
      </c>
      <c r="C9" s="19" t="s">
        <v>16</v>
      </c>
      <c r="D9" s="20" t="s">
        <v>17</v>
      </c>
      <c r="E9" s="21">
        <f>17859290*1.18/1000</f>
        <v>21073.962199999998</v>
      </c>
      <c r="F9" s="21">
        <f>SUM(H9:H9)</f>
        <v>18035.17841</v>
      </c>
      <c r="G9" s="21" t="s">
        <v>18</v>
      </c>
      <c r="H9" s="21">
        <f>18035178.41/1000</f>
        <v>18035.17841</v>
      </c>
      <c r="I9" s="21">
        <f>SUM(K9:K9)</f>
        <v>0</v>
      </c>
      <c r="J9" s="22" t="s">
        <v>19</v>
      </c>
      <c r="K9" s="23" t="s">
        <v>19</v>
      </c>
      <c r="L9" s="1"/>
      <c r="M9" s="1"/>
      <c r="N9" s="1"/>
    </row>
    <row r="10" spans="1:14" s="8" customFormat="1" ht="63" customHeight="1" thickBot="1" x14ac:dyDescent="0.3">
      <c r="B10" s="89" t="s">
        <v>20</v>
      </c>
      <c r="C10" s="20" t="s">
        <v>16</v>
      </c>
      <c r="D10" s="20" t="s">
        <v>21</v>
      </c>
      <c r="E10" s="21">
        <f>10176490*1.18/1000</f>
        <v>12008.258199999998</v>
      </c>
      <c r="F10" s="21">
        <f>SUM(H10:H10)</f>
        <v>12008.258199999998</v>
      </c>
      <c r="G10" s="21" t="s">
        <v>18</v>
      </c>
      <c r="H10" s="21">
        <f>12008258.2/1000</f>
        <v>12008.258199999998</v>
      </c>
      <c r="I10" s="21">
        <f>SUM(K10:K10)</f>
        <v>0</v>
      </c>
      <c r="J10" s="22" t="s">
        <v>19</v>
      </c>
      <c r="K10" s="23" t="s">
        <v>19</v>
      </c>
      <c r="L10" s="1"/>
      <c r="M10" s="1"/>
      <c r="N10" s="1"/>
    </row>
    <row r="11" spans="1:14" s="8" customFormat="1" ht="62.25" customHeight="1" thickBot="1" x14ac:dyDescent="0.3">
      <c r="B11" s="88" t="s">
        <v>22</v>
      </c>
      <c r="C11" s="19" t="s">
        <v>16</v>
      </c>
      <c r="D11" s="20" t="s">
        <v>21</v>
      </c>
      <c r="E11" s="21">
        <f>14884895*1.18/1000</f>
        <v>17564.176099999997</v>
      </c>
      <c r="F11" s="21">
        <f>SUM(H11:H11)</f>
        <v>17564.176100000001</v>
      </c>
      <c r="G11" s="21" t="s">
        <v>18</v>
      </c>
      <c r="H11" s="21">
        <f>17564176.1/1000</f>
        <v>17564.176100000001</v>
      </c>
      <c r="I11" s="21">
        <f>SUM(K11:K11)</f>
        <v>0</v>
      </c>
      <c r="J11" s="22" t="s">
        <v>19</v>
      </c>
      <c r="K11" s="23" t="s">
        <v>19</v>
      </c>
      <c r="L11" s="1"/>
      <c r="M11" s="1"/>
      <c r="N11" s="1"/>
    </row>
    <row r="12" spans="1:14" s="8" customFormat="1" ht="45" customHeight="1" x14ac:dyDescent="0.25">
      <c r="B12" s="444" t="s">
        <v>23</v>
      </c>
      <c r="C12" s="24" t="s">
        <v>24</v>
      </c>
      <c r="D12" s="25" t="s">
        <v>25</v>
      </c>
      <c r="E12" s="26">
        <f>1100000/1000</f>
        <v>1100</v>
      </c>
      <c r="F12" s="26" t="str">
        <f>H12</f>
        <v>__</v>
      </c>
      <c r="G12" s="26" t="s">
        <v>19</v>
      </c>
      <c r="H12" s="27" t="s">
        <v>19</v>
      </c>
      <c r="I12" s="27">
        <f>K12+K13+K14</f>
        <v>1099.9999883999999</v>
      </c>
      <c r="J12" s="26" t="s">
        <v>26</v>
      </c>
      <c r="K12" s="28">
        <f>351196.6268/1000</f>
        <v>351.19662680000005</v>
      </c>
      <c r="L12" s="1"/>
      <c r="M12" s="1"/>
      <c r="N12" s="1"/>
    </row>
    <row r="13" spans="1:14" s="8" customFormat="1" ht="45" customHeight="1" x14ac:dyDescent="0.25">
      <c r="B13" s="448"/>
      <c r="C13" s="77"/>
      <c r="D13" s="84"/>
      <c r="E13" s="80"/>
      <c r="F13" s="80"/>
      <c r="G13" s="26"/>
      <c r="H13" s="27"/>
      <c r="I13" s="102"/>
      <c r="J13" s="29" t="s">
        <v>159</v>
      </c>
      <c r="K13" s="103">
        <v>299.52134699999993</v>
      </c>
      <c r="L13" s="1"/>
      <c r="M13" s="1"/>
      <c r="N13" s="1"/>
    </row>
    <row r="14" spans="1:14" s="8" customFormat="1" ht="45" customHeight="1" x14ac:dyDescent="0.25">
      <c r="B14" s="448"/>
      <c r="C14" s="77"/>
      <c r="D14" s="84"/>
      <c r="E14" s="80"/>
      <c r="F14" s="80"/>
      <c r="G14" s="26"/>
      <c r="H14" s="27"/>
      <c r="I14" s="102"/>
      <c r="J14" s="29" t="s">
        <v>175</v>
      </c>
      <c r="K14" s="136">
        <f>(380747.47/1000)*1.18</f>
        <v>449.28201459999991</v>
      </c>
      <c r="L14" s="1"/>
      <c r="M14" s="1"/>
      <c r="N14" s="1"/>
    </row>
    <row r="15" spans="1:14" s="8" customFormat="1" ht="34.5" customHeight="1" x14ac:dyDescent="0.25">
      <c r="B15" s="448"/>
      <c r="C15" s="462" t="s">
        <v>27</v>
      </c>
      <c r="D15" s="462" t="s">
        <v>28</v>
      </c>
      <c r="E15" s="413">
        <v>2740.83</v>
      </c>
      <c r="F15" s="413">
        <f>SUM(H15:H18)</f>
        <v>2589.3861000000002</v>
      </c>
      <c r="G15" s="26" t="s">
        <v>29</v>
      </c>
      <c r="H15" s="27">
        <f>737212.08/1000</f>
        <v>737.21208000000001</v>
      </c>
      <c r="I15" s="413">
        <f>SUM(K15:K18)</f>
        <v>915.86171999999988</v>
      </c>
      <c r="J15" s="29" t="s">
        <v>30</v>
      </c>
      <c r="K15" s="28">
        <v>253.22681999999998</v>
      </c>
      <c r="L15" s="1"/>
      <c r="M15" s="1"/>
      <c r="N15" s="1"/>
    </row>
    <row r="16" spans="1:14" s="8" customFormat="1" ht="34.5" customHeight="1" x14ac:dyDescent="0.25">
      <c r="B16" s="448"/>
      <c r="C16" s="397"/>
      <c r="D16" s="397"/>
      <c r="E16" s="420"/>
      <c r="F16" s="420"/>
      <c r="G16" s="26" t="s">
        <v>31</v>
      </c>
      <c r="H16" s="27">
        <f>936312.3/1000</f>
        <v>936.31230000000005</v>
      </c>
      <c r="I16" s="420"/>
      <c r="J16" s="26" t="s">
        <v>19</v>
      </c>
      <c r="K16" s="30" t="s">
        <v>19</v>
      </c>
      <c r="L16" s="1"/>
      <c r="M16" s="1"/>
      <c r="N16" s="140"/>
    </row>
    <row r="17" spans="2:14" s="8" customFormat="1" ht="34.5" customHeight="1" x14ac:dyDescent="0.25">
      <c r="B17" s="448"/>
      <c r="C17" s="452"/>
      <c r="D17" s="452"/>
      <c r="E17" s="412"/>
      <c r="F17" s="412"/>
      <c r="G17" s="26" t="s">
        <v>32</v>
      </c>
      <c r="H17" s="27">
        <v>253.22682</v>
      </c>
      <c r="I17" s="412"/>
      <c r="J17" s="26" t="s">
        <v>19</v>
      </c>
      <c r="K17" s="30" t="s">
        <v>19</v>
      </c>
      <c r="M17" s="1"/>
      <c r="N17" s="140"/>
    </row>
    <row r="18" spans="2:14" s="8" customFormat="1" ht="34.5" customHeight="1" x14ac:dyDescent="0.25">
      <c r="B18" s="448"/>
      <c r="C18" s="79"/>
      <c r="D18" s="85"/>
      <c r="E18" s="82"/>
      <c r="F18" s="82"/>
      <c r="G18" s="26"/>
      <c r="H18" s="149">
        <f>662634.9/1000</f>
        <v>662.63490000000002</v>
      </c>
      <c r="I18" s="82"/>
      <c r="J18" s="26" t="s">
        <v>160</v>
      </c>
      <c r="K18" s="103">
        <v>662.6348999999999</v>
      </c>
      <c r="L18" s="1"/>
      <c r="M18" s="1"/>
      <c r="N18" s="1"/>
    </row>
    <row r="19" spans="2:14" s="8" customFormat="1" ht="42" customHeight="1" x14ac:dyDescent="0.25">
      <c r="B19" s="448"/>
      <c r="C19" s="24" t="s">
        <v>33</v>
      </c>
      <c r="D19" s="25" t="s">
        <v>34</v>
      </c>
      <c r="E19" s="26">
        <f>1652600/1000</f>
        <v>1652.6</v>
      </c>
      <c r="F19" s="26">
        <f>H19</f>
        <v>1652.6</v>
      </c>
      <c r="G19" s="26" t="s">
        <v>35</v>
      </c>
      <c r="H19" s="27">
        <f>1652600/1000</f>
        <v>1652.6</v>
      </c>
      <c r="I19" s="27" t="str">
        <f>K19</f>
        <v>__</v>
      </c>
      <c r="J19" s="26" t="s">
        <v>19</v>
      </c>
      <c r="K19" s="28" t="s">
        <v>19</v>
      </c>
      <c r="L19" s="1"/>
      <c r="M19" s="1"/>
      <c r="N19" s="1"/>
    </row>
    <row r="20" spans="2:14" s="8" customFormat="1" ht="38.25" customHeight="1" thickBot="1" x14ac:dyDescent="0.3">
      <c r="B20" s="445"/>
      <c r="C20" s="456" t="s">
        <v>36</v>
      </c>
      <c r="D20" s="457"/>
      <c r="E20" s="31" t="s">
        <v>19</v>
      </c>
      <c r="F20" s="26" t="str">
        <f>H20</f>
        <v>__</v>
      </c>
      <c r="G20" s="31" t="s">
        <v>19</v>
      </c>
      <c r="H20" s="31" t="s">
        <v>19</v>
      </c>
      <c r="I20" s="26">
        <f>K20</f>
        <v>66.934614999999994</v>
      </c>
      <c r="J20" s="31" t="s">
        <v>19</v>
      </c>
      <c r="K20" s="30">
        <v>66.934614999999994</v>
      </c>
      <c r="L20" s="1"/>
      <c r="M20" s="1"/>
      <c r="N20" s="1"/>
    </row>
    <row r="21" spans="2:14" s="8" customFormat="1" ht="60.75" thickBot="1" x14ac:dyDescent="0.3">
      <c r="B21" s="97" t="s">
        <v>167</v>
      </c>
      <c r="C21" s="125" t="s">
        <v>168</v>
      </c>
      <c r="D21" s="24"/>
      <c r="E21" s="96">
        <f>70000/1000</f>
        <v>70</v>
      </c>
      <c r="F21" s="96"/>
      <c r="G21" s="96"/>
      <c r="H21" s="96"/>
      <c r="I21" s="96">
        <f>K21</f>
        <v>70</v>
      </c>
      <c r="J21" s="96" t="s">
        <v>178</v>
      </c>
      <c r="K21" s="135">
        <f>70000/1000</f>
        <v>70</v>
      </c>
      <c r="L21" s="1"/>
      <c r="M21" s="1"/>
      <c r="N21" s="1"/>
    </row>
    <row r="22" spans="2:14" s="8" customFormat="1" ht="16.5" thickBot="1" x14ac:dyDescent="0.3">
      <c r="B22" s="32" t="s">
        <v>37</v>
      </c>
      <c r="C22" s="33"/>
      <c r="D22" s="99"/>
      <c r="E22" s="33"/>
      <c r="F22" s="34">
        <f>SUM(F9:F21)</f>
        <v>51849.598810000003</v>
      </c>
      <c r="G22" s="35"/>
      <c r="H22" s="34">
        <f>SUM(H7:H21)</f>
        <v>51849.598809999996</v>
      </c>
      <c r="I22" s="34">
        <f>SUM(I9:I21)</f>
        <v>2152.7963233999999</v>
      </c>
      <c r="J22" s="34"/>
      <c r="K22" s="36">
        <f>SUM(K9:K21)</f>
        <v>2152.7963233999999</v>
      </c>
      <c r="L22" s="1"/>
      <c r="M22" s="1"/>
      <c r="N22" s="1"/>
    </row>
    <row r="23" spans="2:14" s="8" customFormat="1" ht="39" customHeight="1" thickBot="1" x14ac:dyDescent="0.3">
      <c r="B23" s="32" t="s">
        <v>38</v>
      </c>
      <c r="C23" s="33"/>
      <c r="D23" s="33"/>
      <c r="E23" s="33"/>
      <c r="F23" s="34">
        <f>H23</f>
        <v>689.30100000000004</v>
      </c>
      <c r="G23" s="37"/>
      <c r="H23" s="34">
        <f>K23</f>
        <v>689.30100000000004</v>
      </c>
      <c r="I23" s="34">
        <f>K23</f>
        <v>689.30100000000004</v>
      </c>
      <c r="J23" s="37"/>
      <c r="K23" s="36">
        <v>689.30100000000004</v>
      </c>
      <c r="L23" s="1"/>
      <c r="M23" s="1"/>
      <c r="N23" s="1"/>
    </row>
    <row r="24" spans="2:14" s="8" customFormat="1" ht="32.25" thickBot="1" x14ac:dyDescent="0.3">
      <c r="B24" s="32" t="s">
        <v>39</v>
      </c>
      <c r="C24" s="33"/>
      <c r="D24" s="33"/>
      <c r="E24" s="33"/>
      <c r="F24" s="34">
        <f>F22+F23</f>
        <v>52538.899810000003</v>
      </c>
      <c r="G24" s="35"/>
      <c r="H24" s="34">
        <f>H22+H23</f>
        <v>52538.899809999995</v>
      </c>
      <c r="I24" s="34">
        <f>I22+I23</f>
        <v>2842.0973233999998</v>
      </c>
      <c r="J24" s="37"/>
      <c r="K24" s="36">
        <f>K22+K23</f>
        <v>2842.0973233999998</v>
      </c>
      <c r="L24" s="1"/>
      <c r="M24" s="1"/>
      <c r="N24" s="1"/>
    </row>
    <row r="25" spans="2:14" s="8" customFormat="1" ht="16.5" customHeight="1" thickBot="1" x14ac:dyDescent="0.3">
      <c r="B25" s="38"/>
      <c r="C25" s="100"/>
      <c r="D25" s="100"/>
      <c r="E25" s="100"/>
      <c r="F25" s="101" t="s">
        <v>40</v>
      </c>
      <c r="G25" s="100"/>
      <c r="H25" s="100"/>
      <c r="I25" s="100"/>
      <c r="J25" s="100"/>
      <c r="K25" s="144"/>
      <c r="L25" s="1"/>
      <c r="M25" s="1"/>
      <c r="N25" s="1"/>
    </row>
    <row r="26" spans="2:14" s="8" customFormat="1" ht="45" customHeight="1" x14ac:dyDescent="0.25">
      <c r="B26" s="558" t="s">
        <v>41</v>
      </c>
      <c r="C26" s="435" t="s">
        <v>42</v>
      </c>
      <c r="D26" s="446" t="s">
        <v>43</v>
      </c>
      <c r="E26" s="438">
        <v>82000</v>
      </c>
      <c r="F26" s="438">
        <f>SUM(H26:H35)</f>
        <v>6630.1622200000002</v>
      </c>
      <c r="G26" s="17" t="s">
        <v>44</v>
      </c>
      <c r="H26" s="17">
        <v>130.99584999999999</v>
      </c>
      <c r="I26" s="438">
        <f>SUM(K26:K35)</f>
        <v>8424.0754245999997</v>
      </c>
      <c r="J26" s="17" t="s">
        <v>45</v>
      </c>
      <c r="K26" s="18">
        <f>130995.8474/1000</f>
        <v>130.9958474</v>
      </c>
      <c r="L26" s="1"/>
      <c r="M26" s="1"/>
      <c r="N26" s="1"/>
    </row>
    <row r="27" spans="2:14" s="8" customFormat="1" ht="45" x14ac:dyDescent="0.25">
      <c r="B27" s="421"/>
      <c r="C27" s="395"/>
      <c r="D27" s="397"/>
      <c r="E27" s="420"/>
      <c r="F27" s="420"/>
      <c r="G27" s="26" t="s">
        <v>46</v>
      </c>
      <c r="H27" s="26">
        <v>651.55920000000003</v>
      </c>
      <c r="I27" s="420"/>
      <c r="J27" s="26" t="s">
        <v>47</v>
      </c>
      <c r="K27" s="28">
        <f>30576.14*1.18/1000</f>
        <v>36.079845199999994</v>
      </c>
      <c r="L27" s="1"/>
      <c r="M27" s="1"/>
      <c r="N27" s="1"/>
    </row>
    <row r="28" spans="2:14" s="8" customFormat="1" ht="45" x14ac:dyDescent="0.25">
      <c r="B28" s="421"/>
      <c r="C28" s="395"/>
      <c r="D28" s="397"/>
      <c r="E28" s="420"/>
      <c r="F28" s="420"/>
      <c r="G28" s="26" t="s">
        <v>48</v>
      </c>
      <c r="H28" s="26">
        <v>36.07985</v>
      </c>
      <c r="I28" s="420"/>
      <c r="J28" s="26" t="s">
        <v>49</v>
      </c>
      <c r="K28" s="28">
        <f>552168.81*1.18/1000</f>
        <v>651.5591958</v>
      </c>
      <c r="L28" s="1"/>
      <c r="M28" s="1"/>
      <c r="N28" s="1"/>
    </row>
    <row r="29" spans="2:14" s="8" customFormat="1" ht="45" x14ac:dyDescent="0.25">
      <c r="B29" s="421"/>
      <c r="C29" s="395"/>
      <c r="D29" s="397"/>
      <c r="E29" s="420"/>
      <c r="F29" s="420"/>
      <c r="G29" s="26" t="s">
        <v>19</v>
      </c>
      <c r="H29" s="26" t="s">
        <v>19</v>
      </c>
      <c r="I29" s="420"/>
      <c r="J29" s="26" t="s">
        <v>50</v>
      </c>
      <c r="K29" s="28">
        <v>505.16762879999999</v>
      </c>
      <c r="L29" s="1"/>
      <c r="M29" s="1"/>
      <c r="N29" s="1"/>
    </row>
    <row r="30" spans="2:14" s="8" customFormat="1" ht="45" x14ac:dyDescent="0.25">
      <c r="B30" s="421"/>
      <c r="C30" s="395"/>
      <c r="D30" s="397"/>
      <c r="E30" s="420"/>
      <c r="F30" s="420"/>
      <c r="G30" s="26" t="s">
        <v>19</v>
      </c>
      <c r="H30" s="26" t="s">
        <v>19</v>
      </c>
      <c r="I30" s="420"/>
      <c r="J30" s="26" t="s">
        <v>51</v>
      </c>
      <c r="K30" s="28">
        <v>1041.8767402000001</v>
      </c>
      <c r="L30" s="1"/>
      <c r="M30" s="1"/>
      <c r="N30" s="1"/>
    </row>
    <row r="31" spans="2:14" s="8" customFormat="1" ht="45" x14ac:dyDescent="0.25">
      <c r="B31" s="421"/>
      <c r="C31" s="395"/>
      <c r="D31" s="397"/>
      <c r="E31" s="420"/>
      <c r="F31" s="420"/>
      <c r="G31" s="26"/>
      <c r="H31" s="148">
        <f>505167.63/1000</f>
        <v>505.16763000000003</v>
      </c>
      <c r="I31" s="420"/>
      <c r="J31" s="26" t="s">
        <v>158</v>
      </c>
      <c r="K31" s="103">
        <v>3587.7674383999997</v>
      </c>
      <c r="L31" s="1"/>
      <c r="N31" s="1"/>
    </row>
    <row r="32" spans="2:14" s="8" customFormat="1" ht="45" x14ac:dyDescent="0.25">
      <c r="B32" s="421"/>
      <c r="C32" s="395"/>
      <c r="D32" s="397"/>
      <c r="E32" s="420"/>
      <c r="F32" s="420"/>
      <c r="G32" s="26"/>
      <c r="H32" s="148">
        <f>1041876.74/1000</f>
        <v>1041.8767399999999</v>
      </c>
      <c r="I32" s="420"/>
      <c r="J32" s="26" t="s">
        <v>157</v>
      </c>
      <c r="K32" s="103">
        <v>676.7155095999999</v>
      </c>
      <c r="L32" s="1"/>
      <c r="M32" s="1"/>
      <c r="N32" s="1"/>
    </row>
    <row r="33" spans="2:14" s="8" customFormat="1" x14ac:dyDescent="0.25">
      <c r="B33" s="421"/>
      <c r="C33" s="395"/>
      <c r="D33" s="397"/>
      <c r="E33" s="420"/>
      <c r="F33" s="420"/>
      <c r="G33" s="26"/>
      <c r="H33" s="145">
        <f>3587767.44/1000</f>
        <v>3587.7674400000001</v>
      </c>
      <c r="I33" s="420"/>
      <c r="J33" s="26"/>
      <c r="K33" s="103"/>
      <c r="L33" s="1"/>
      <c r="M33" s="1"/>
      <c r="N33" s="1"/>
    </row>
    <row r="34" spans="2:14" s="8" customFormat="1" x14ac:dyDescent="0.25">
      <c r="B34" s="421"/>
      <c r="C34" s="395"/>
      <c r="D34" s="397"/>
      <c r="E34" s="420"/>
      <c r="F34" s="420"/>
      <c r="G34" s="26"/>
      <c r="H34" s="145">
        <f>676715.51/1000</f>
        <v>676.71550999999999</v>
      </c>
      <c r="I34" s="420"/>
      <c r="J34" s="26"/>
      <c r="K34" s="103"/>
      <c r="L34" s="1"/>
      <c r="M34" s="1"/>
      <c r="N34" s="1"/>
    </row>
    <row r="35" spans="2:14" s="8" customFormat="1" ht="45.75" thickBot="1" x14ac:dyDescent="0.3">
      <c r="B35" s="421"/>
      <c r="C35" s="396"/>
      <c r="D35" s="398"/>
      <c r="E35" s="424"/>
      <c r="F35" s="424"/>
      <c r="G35" s="21"/>
      <c r="H35" s="21"/>
      <c r="I35" s="424"/>
      <c r="J35" s="21" t="s">
        <v>177</v>
      </c>
      <c r="K35" s="134">
        <f>(1520265.44/1000)*1.18</f>
        <v>1793.9132191999997</v>
      </c>
      <c r="L35" s="1"/>
      <c r="M35" s="1"/>
      <c r="N35" s="1"/>
    </row>
    <row r="36" spans="2:14" s="8" customFormat="1" ht="45" x14ac:dyDescent="0.25">
      <c r="B36" s="421"/>
      <c r="C36" s="397" t="s">
        <v>42</v>
      </c>
      <c r="D36" s="397" t="s">
        <v>52</v>
      </c>
      <c r="E36" s="420">
        <f>7700000/1000</f>
        <v>7700</v>
      </c>
      <c r="F36" s="438">
        <f>SUM(H36:H43)</f>
        <v>1975.37141</v>
      </c>
      <c r="G36" s="31" t="s">
        <v>53</v>
      </c>
      <c r="H36" s="31">
        <f>513728.95/1000</f>
        <v>513.72895000000005</v>
      </c>
      <c r="I36" s="438">
        <f>SUM(K36:K43)</f>
        <v>498.0784956</v>
      </c>
      <c r="J36" s="41" t="s">
        <v>54</v>
      </c>
      <c r="K36" s="53">
        <f>4024.8148/1000</f>
        <v>4.0248147999999997</v>
      </c>
      <c r="L36" s="1"/>
      <c r="M36" s="1"/>
      <c r="N36" s="1"/>
    </row>
    <row r="37" spans="2:14" s="8" customFormat="1" ht="35.25" customHeight="1" x14ac:dyDescent="0.25">
      <c r="B37" s="421"/>
      <c r="C37" s="397"/>
      <c r="D37" s="397"/>
      <c r="E37" s="420"/>
      <c r="F37" s="420"/>
      <c r="G37" s="31" t="s">
        <v>55</v>
      </c>
      <c r="H37" s="31">
        <f>100040.74/1000</f>
        <v>100.04074</v>
      </c>
      <c r="I37" s="420"/>
      <c r="J37" s="29" t="s">
        <v>19</v>
      </c>
      <c r="K37" s="28" t="s">
        <v>19</v>
      </c>
      <c r="L37" s="1"/>
      <c r="M37" s="1"/>
      <c r="N37" s="1"/>
    </row>
    <row r="38" spans="2:14" s="8" customFormat="1" ht="35.25" customHeight="1" x14ac:dyDescent="0.25">
      <c r="B38" s="421"/>
      <c r="C38" s="397"/>
      <c r="D38" s="397"/>
      <c r="E38" s="420"/>
      <c r="F38" s="420"/>
      <c r="G38" s="31" t="s">
        <v>56</v>
      </c>
      <c r="H38" s="31">
        <f>73031.03/1000</f>
        <v>73.031030000000001</v>
      </c>
      <c r="I38" s="420"/>
      <c r="J38" s="41" t="s">
        <v>19</v>
      </c>
      <c r="K38" s="28" t="s">
        <v>19</v>
      </c>
      <c r="L38" s="1"/>
      <c r="M38" s="1"/>
      <c r="N38" s="1"/>
    </row>
    <row r="39" spans="2:14" s="8" customFormat="1" ht="35.25" customHeight="1" x14ac:dyDescent="0.25">
      <c r="B39" s="421"/>
      <c r="C39" s="397"/>
      <c r="D39" s="397"/>
      <c r="E39" s="420"/>
      <c r="F39" s="420"/>
      <c r="G39" s="31" t="s">
        <v>57</v>
      </c>
      <c r="H39" s="31">
        <f>122959.86/1000</f>
        <v>122.95986000000001</v>
      </c>
      <c r="I39" s="420"/>
      <c r="J39" s="41" t="s">
        <v>19</v>
      </c>
      <c r="K39" s="28" t="s">
        <v>19</v>
      </c>
      <c r="L39" s="1"/>
      <c r="M39" s="1"/>
      <c r="N39" s="1"/>
    </row>
    <row r="40" spans="2:14" s="8" customFormat="1" ht="35.25" customHeight="1" x14ac:dyDescent="0.25">
      <c r="B40" s="421"/>
      <c r="C40" s="397"/>
      <c r="D40" s="397"/>
      <c r="E40" s="420"/>
      <c r="F40" s="420"/>
      <c r="G40" s="31" t="s">
        <v>58</v>
      </c>
      <c r="H40" s="31">
        <f>819718.69/1000</f>
        <v>819.71868999999992</v>
      </c>
      <c r="I40" s="420"/>
      <c r="J40" s="41" t="s">
        <v>19</v>
      </c>
      <c r="K40" s="28" t="s">
        <v>19</v>
      </c>
      <c r="L40" s="1"/>
      <c r="M40" s="1"/>
      <c r="N40" s="1"/>
    </row>
    <row r="41" spans="2:14" s="8" customFormat="1" ht="35.25" customHeight="1" x14ac:dyDescent="0.25">
      <c r="B41" s="421"/>
      <c r="C41" s="397"/>
      <c r="D41" s="397"/>
      <c r="E41" s="420"/>
      <c r="F41" s="420"/>
      <c r="G41" s="31" t="s">
        <v>59</v>
      </c>
      <c r="H41" s="31">
        <v>4.0248100000000004</v>
      </c>
      <c r="I41" s="420"/>
      <c r="J41" s="41" t="s">
        <v>19</v>
      </c>
      <c r="K41" s="28" t="s">
        <v>19</v>
      </c>
      <c r="L41" s="1"/>
      <c r="M41" s="1"/>
      <c r="N41" s="1"/>
    </row>
    <row r="42" spans="2:14" s="8" customFormat="1" ht="45" x14ac:dyDescent="0.25">
      <c r="B42" s="421"/>
      <c r="C42" s="78"/>
      <c r="D42" s="78"/>
      <c r="E42" s="81"/>
      <c r="F42" s="420"/>
      <c r="G42" s="82"/>
      <c r="H42" s="151">
        <f>341867.33/1000</f>
        <v>341.86733000000004</v>
      </c>
      <c r="I42" s="420"/>
      <c r="J42" s="41" t="s">
        <v>163</v>
      </c>
      <c r="K42" s="124">
        <v>341.8673344</v>
      </c>
      <c r="L42" s="1"/>
      <c r="M42" s="1"/>
      <c r="N42" s="1"/>
    </row>
    <row r="43" spans="2:14" s="8" customFormat="1" ht="61.5" customHeight="1" x14ac:dyDescent="0.25">
      <c r="B43" s="421"/>
      <c r="C43" s="95"/>
      <c r="D43" s="95"/>
      <c r="E43" s="96"/>
      <c r="F43" s="412"/>
      <c r="G43" s="93"/>
      <c r="H43" s="93"/>
      <c r="I43" s="412"/>
      <c r="J43" s="41" t="s">
        <v>176</v>
      </c>
      <c r="K43" s="139">
        <f>(128971.48/1000)*1.18</f>
        <v>152.18634639999996</v>
      </c>
      <c r="L43" s="1"/>
      <c r="M43" s="140">
        <f>K43</f>
        <v>152.18634639999996</v>
      </c>
      <c r="N43" s="1"/>
    </row>
    <row r="44" spans="2:14" s="8" customFormat="1" ht="35.25" customHeight="1" x14ac:dyDescent="0.25">
      <c r="B44" s="421"/>
      <c r="C44" s="462" t="s">
        <v>60</v>
      </c>
      <c r="D44" s="462" t="s">
        <v>61</v>
      </c>
      <c r="E44" s="413">
        <f>143412108/1000</f>
        <v>143412.10800000001</v>
      </c>
      <c r="F44" s="413">
        <f>SUM(H44:H58)</f>
        <v>57243.230510000001</v>
      </c>
      <c r="G44" s="31" t="s">
        <v>62</v>
      </c>
      <c r="H44" s="31">
        <f>16086573.81/1000</f>
        <v>16086.57381</v>
      </c>
      <c r="I44" s="413">
        <f>SUM(K44:K52)</f>
        <v>0</v>
      </c>
      <c r="J44" s="41" t="s">
        <v>19</v>
      </c>
      <c r="K44" s="30" t="s">
        <v>19</v>
      </c>
      <c r="L44" s="1"/>
      <c r="M44" s="1"/>
      <c r="N44" s="1"/>
    </row>
    <row r="45" spans="2:14" s="8" customFormat="1" ht="41.25" customHeight="1" x14ac:dyDescent="0.25">
      <c r="B45" s="421"/>
      <c r="C45" s="397"/>
      <c r="D45" s="397"/>
      <c r="E45" s="420"/>
      <c r="F45" s="420"/>
      <c r="G45" s="31" t="s">
        <v>63</v>
      </c>
      <c r="H45" s="31">
        <f>292539.95/1000</f>
        <v>292.53995000000003</v>
      </c>
      <c r="I45" s="420"/>
      <c r="J45" s="41" t="s">
        <v>19</v>
      </c>
      <c r="K45" s="30" t="s">
        <v>19</v>
      </c>
      <c r="L45" s="1"/>
      <c r="M45" s="1"/>
      <c r="N45" s="1"/>
    </row>
    <row r="46" spans="2:14" s="8" customFormat="1" ht="31.5" customHeight="1" x14ac:dyDescent="0.25">
      <c r="B46" s="421"/>
      <c r="C46" s="397"/>
      <c r="D46" s="397"/>
      <c r="E46" s="420"/>
      <c r="F46" s="420"/>
      <c r="G46" s="31" t="s">
        <v>64</v>
      </c>
      <c r="H46" s="31">
        <v>636.48311999999999</v>
      </c>
      <c r="I46" s="420"/>
      <c r="J46" s="41" t="s">
        <v>19</v>
      </c>
      <c r="K46" s="30" t="s">
        <v>19</v>
      </c>
      <c r="L46" s="1"/>
      <c r="M46" s="1"/>
      <c r="N46" s="1"/>
    </row>
    <row r="47" spans="2:14" s="8" customFormat="1" ht="31.5" customHeight="1" x14ac:dyDescent="0.25">
      <c r="B47" s="421"/>
      <c r="C47" s="397"/>
      <c r="D47" s="397"/>
      <c r="E47" s="420"/>
      <c r="F47" s="420"/>
      <c r="G47" s="413" t="s">
        <v>65</v>
      </c>
      <c r="H47" s="31">
        <v>1196.35187</v>
      </c>
      <c r="I47" s="420"/>
      <c r="J47" s="41" t="s">
        <v>19</v>
      </c>
      <c r="K47" s="30" t="s">
        <v>19</v>
      </c>
      <c r="L47" s="1"/>
      <c r="M47" s="1"/>
      <c r="N47" s="1"/>
    </row>
    <row r="48" spans="2:14" s="8" customFormat="1" ht="31.5" customHeight="1" x14ac:dyDescent="0.25">
      <c r="B48" s="421"/>
      <c r="C48" s="397"/>
      <c r="D48" s="397"/>
      <c r="E48" s="420"/>
      <c r="F48" s="420"/>
      <c r="G48" s="412"/>
      <c r="H48" s="31">
        <v>622.94609000000003</v>
      </c>
      <c r="I48" s="420"/>
      <c r="J48" s="41" t="s">
        <v>19</v>
      </c>
      <c r="K48" s="30" t="s">
        <v>19</v>
      </c>
      <c r="L48" s="1"/>
      <c r="M48" s="1"/>
      <c r="N48" s="1"/>
    </row>
    <row r="49" spans="2:14" s="8" customFormat="1" ht="31.5" customHeight="1" x14ac:dyDescent="0.25">
      <c r="B49" s="421"/>
      <c r="C49" s="397"/>
      <c r="D49" s="397"/>
      <c r="E49" s="420"/>
      <c r="F49" s="420"/>
      <c r="G49" s="31" t="s">
        <v>66</v>
      </c>
      <c r="H49" s="31">
        <v>2955.7913199999998</v>
      </c>
      <c r="I49" s="420"/>
      <c r="J49" s="41" t="s">
        <v>19</v>
      </c>
      <c r="K49" s="30" t="s">
        <v>19</v>
      </c>
      <c r="L49" s="1"/>
      <c r="M49" s="1"/>
      <c r="N49" s="1"/>
    </row>
    <row r="50" spans="2:14" s="8" customFormat="1" ht="31.5" customHeight="1" x14ac:dyDescent="0.25">
      <c r="B50" s="421"/>
      <c r="C50" s="397"/>
      <c r="D50" s="397"/>
      <c r="E50" s="420"/>
      <c r="F50" s="420"/>
      <c r="G50" s="31" t="s">
        <v>67</v>
      </c>
      <c r="H50" s="31">
        <v>3937.3973700000001</v>
      </c>
      <c r="I50" s="420"/>
      <c r="J50" s="41" t="s">
        <v>19</v>
      </c>
      <c r="K50" s="30" t="s">
        <v>19</v>
      </c>
      <c r="L50" s="1"/>
      <c r="M50" s="1"/>
      <c r="N50" s="1"/>
    </row>
    <row r="51" spans="2:14" s="8" customFormat="1" ht="31.5" customHeight="1" x14ac:dyDescent="0.25">
      <c r="B51" s="421"/>
      <c r="C51" s="397"/>
      <c r="D51" s="397"/>
      <c r="E51" s="420"/>
      <c r="F51" s="420"/>
      <c r="G51" s="31" t="s">
        <v>68</v>
      </c>
      <c r="H51" s="31">
        <v>7794.63627</v>
      </c>
      <c r="I51" s="420"/>
      <c r="J51" s="41" t="s">
        <v>19</v>
      </c>
      <c r="K51" s="30" t="s">
        <v>19</v>
      </c>
      <c r="L51" s="1"/>
      <c r="M51" s="1"/>
      <c r="N51" s="1"/>
    </row>
    <row r="52" spans="2:14" s="8" customFormat="1" ht="31.5" customHeight="1" x14ac:dyDescent="0.25">
      <c r="B52" s="421"/>
      <c r="C52" s="397"/>
      <c r="D52" s="397"/>
      <c r="E52" s="420"/>
      <c r="F52" s="420"/>
      <c r="G52" s="96" t="s">
        <v>69</v>
      </c>
      <c r="H52" s="96">
        <v>8396.4669300000005</v>
      </c>
      <c r="I52" s="420"/>
      <c r="J52" s="127" t="s">
        <v>19</v>
      </c>
      <c r="K52" s="126" t="s">
        <v>19</v>
      </c>
      <c r="L52" s="1"/>
      <c r="M52" s="1"/>
      <c r="N52" s="1"/>
    </row>
    <row r="53" spans="2:14" s="8" customFormat="1" ht="31.5" customHeight="1" x14ac:dyDescent="0.25">
      <c r="B53" s="421"/>
      <c r="C53" s="397"/>
      <c r="D53" s="95"/>
      <c r="E53" s="96"/>
      <c r="F53" s="420"/>
      <c r="G53" s="26"/>
      <c r="H53" s="150">
        <v>5037.8801599999997</v>
      </c>
      <c r="I53" s="96"/>
      <c r="J53" s="127"/>
      <c r="K53" s="126"/>
      <c r="L53" s="1"/>
      <c r="M53" s="1"/>
      <c r="N53" s="1"/>
    </row>
    <row r="54" spans="2:14" s="8" customFormat="1" ht="31.5" customHeight="1" x14ac:dyDescent="0.25">
      <c r="B54" s="421"/>
      <c r="C54" s="397"/>
      <c r="D54" s="95"/>
      <c r="E54" s="96"/>
      <c r="F54" s="420"/>
      <c r="G54" s="26"/>
      <c r="H54" s="150">
        <v>4676.7817599999998</v>
      </c>
      <c r="I54" s="96"/>
      <c r="J54" s="127"/>
      <c r="K54" s="126"/>
      <c r="L54" s="1"/>
      <c r="M54" s="1"/>
      <c r="N54" s="1"/>
    </row>
    <row r="55" spans="2:14" s="8" customFormat="1" ht="31.5" customHeight="1" x14ac:dyDescent="0.25">
      <c r="B55" s="421"/>
      <c r="C55" s="397"/>
      <c r="D55" s="95"/>
      <c r="E55" s="96"/>
      <c r="F55" s="420"/>
      <c r="G55" s="26"/>
      <c r="H55" s="150">
        <v>1773.47479</v>
      </c>
      <c r="I55" s="96"/>
      <c r="J55" s="127"/>
      <c r="K55" s="126"/>
      <c r="L55" s="1"/>
      <c r="M55" s="1"/>
      <c r="N55" s="1"/>
    </row>
    <row r="56" spans="2:14" s="8" customFormat="1" ht="31.5" customHeight="1" x14ac:dyDescent="0.25">
      <c r="B56" s="421"/>
      <c r="C56" s="397"/>
      <c r="D56" s="95"/>
      <c r="E56" s="96"/>
      <c r="F56" s="420"/>
      <c r="G56" s="26"/>
      <c r="H56" s="150">
        <v>2362.43842</v>
      </c>
      <c r="I56" s="96"/>
      <c r="J56" s="127"/>
      <c r="K56" s="126"/>
      <c r="L56" s="1"/>
      <c r="M56" s="1"/>
      <c r="N56" s="1"/>
    </row>
    <row r="57" spans="2:14" s="8" customFormat="1" ht="31.5" customHeight="1" x14ac:dyDescent="0.25">
      <c r="B57" s="421"/>
      <c r="C57" s="397"/>
      <c r="D57" s="95"/>
      <c r="E57" s="96"/>
      <c r="F57" s="420"/>
      <c r="G57" s="26"/>
      <c r="H57" s="150">
        <v>1091.5787800000001</v>
      </c>
      <c r="I57" s="96"/>
      <c r="J57" s="127"/>
      <c r="K57" s="126"/>
      <c r="L57" s="1"/>
      <c r="M57" s="1"/>
      <c r="N57" s="1"/>
    </row>
    <row r="58" spans="2:14" s="8" customFormat="1" ht="31.5" customHeight="1" thickBot="1" x14ac:dyDescent="0.3">
      <c r="B58" s="422"/>
      <c r="C58" s="398"/>
      <c r="D58" s="95"/>
      <c r="E58" s="96"/>
      <c r="F58" s="424"/>
      <c r="G58" s="26"/>
      <c r="H58" s="150">
        <v>381.88986999999997</v>
      </c>
      <c r="I58" s="96"/>
      <c r="J58" s="127"/>
      <c r="K58" s="126"/>
      <c r="L58" s="1"/>
      <c r="M58" s="1"/>
      <c r="N58" s="1"/>
    </row>
    <row r="59" spans="2:14" s="8" customFormat="1" ht="38.25" customHeight="1" x14ac:dyDescent="0.25">
      <c r="B59" s="435" t="s">
        <v>70</v>
      </c>
      <c r="C59" s="429" t="s">
        <v>71</v>
      </c>
      <c r="D59" s="429" t="s">
        <v>72</v>
      </c>
      <c r="E59" s="556">
        <v>76117.5</v>
      </c>
      <c r="F59" s="556">
        <f>SUM(H59:H61)</f>
        <v>68500.004159999997</v>
      </c>
      <c r="G59" s="93" t="s">
        <v>73</v>
      </c>
      <c r="H59" s="93">
        <v>18686.76355</v>
      </c>
      <c r="I59" s="438">
        <f>SUM(K59:K61)</f>
        <v>14586.2296054</v>
      </c>
      <c r="J59" s="17" t="s">
        <v>74</v>
      </c>
      <c r="K59" s="18">
        <f>1581261.2*1.18/1000</f>
        <v>1865.8882159999998</v>
      </c>
      <c r="L59" s="1"/>
      <c r="M59" s="1"/>
      <c r="N59" s="1"/>
    </row>
    <row r="60" spans="2:14" s="8" customFormat="1" ht="38.25" customHeight="1" x14ac:dyDescent="0.25">
      <c r="B60" s="395"/>
      <c r="C60" s="430"/>
      <c r="D60" s="430"/>
      <c r="E60" s="408"/>
      <c r="F60" s="408"/>
      <c r="G60" s="26" t="s">
        <v>19</v>
      </c>
      <c r="H60" s="26" t="s">
        <v>19</v>
      </c>
      <c r="I60" s="420"/>
      <c r="J60" s="26" t="s">
        <v>75</v>
      </c>
      <c r="K60" s="28">
        <v>11356.159224999999</v>
      </c>
      <c r="L60" s="1"/>
      <c r="M60" s="1"/>
      <c r="N60" s="1"/>
    </row>
    <row r="61" spans="2:14" s="8" customFormat="1" ht="38.25" customHeight="1" x14ac:dyDescent="0.25">
      <c r="B61" s="395"/>
      <c r="C61" s="24"/>
      <c r="D61" s="24"/>
      <c r="E61" s="26"/>
      <c r="F61" s="26"/>
      <c r="G61" s="26"/>
      <c r="H61" s="143">
        <f>49813240.61/1000</f>
        <v>49813.240610000001</v>
      </c>
      <c r="I61" s="412"/>
      <c r="J61" s="26" t="s">
        <v>169</v>
      </c>
      <c r="K61" s="136">
        <f>(1156086.58/1000)*1.18</f>
        <v>1364.1821644000001</v>
      </c>
      <c r="L61" s="1"/>
      <c r="M61" s="1"/>
      <c r="N61" s="1"/>
    </row>
    <row r="62" spans="2:14" s="8" customFormat="1" ht="48" customHeight="1" x14ac:dyDescent="0.25">
      <c r="B62" s="395"/>
      <c r="C62" s="430" t="s">
        <v>76</v>
      </c>
      <c r="D62" s="430"/>
      <c r="E62" s="26" t="s">
        <v>19</v>
      </c>
      <c r="F62" s="26" t="str">
        <f>H62</f>
        <v>__</v>
      </c>
      <c r="G62" s="26" t="s">
        <v>19</v>
      </c>
      <c r="H62" s="26" t="s">
        <v>19</v>
      </c>
      <c r="I62" s="26">
        <f>K62</f>
        <v>20560.291975</v>
      </c>
      <c r="J62" s="26" t="s">
        <v>19</v>
      </c>
      <c r="K62" s="28">
        <f>541.66779+19644.6171198+374.0070652</f>
        <v>20560.291975</v>
      </c>
      <c r="L62" s="1"/>
      <c r="M62" s="1"/>
      <c r="N62" s="1"/>
    </row>
    <row r="63" spans="2:14" s="8" customFormat="1" ht="75.75" thickBot="1" x14ac:dyDescent="0.3">
      <c r="B63" s="396"/>
      <c r="C63" s="19" t="s">
        <v>171</v>
      </c>
      <c r="D63" s="19" t="s">
        <v>165</v>
      </c>
      <c r="E63" s="21">
        <v>99456.01</v>
      </c>
      <c r="F63" s="21">
        <f>H63</f>
        <v>99.45599</v>
      </c>
      <c r="G63" s="21" t="s">
        <v>179</v>
      </c>
      <c r="H63" s="146">
        <f>99455.99/1000</f>
        <v>99.45599</v>
      </c>
      <c r="I63" s="21">
        <f>K63</f>
        <v>99.455993199999995</v>
      </c>
      <c r="J63" s="21" t="s">
        <v>170</v>
      </c>
      <c r="K63" s="134">
        <f>(84284.74/1000)*1.18</f>
        <v>99.455993199999995</v>
      </c>
      <c r="L63" s="1"/>
      <c r="M63" s="1"/>
      <c r="N63" s="1"/>
    </row>
    <row r="64" spans="2:14" s="8" customFormat="1" ht="66.75" customHeight="1" thickBot="1" x14ac:dyDescent="0.3">
      <c r="B64" s="128" t="s">
        <v>77</v>
      </c>
      <c r="C64" s="95" t="s">
        <v>78</v>
      </c>
      <c r="D64" s="95" t="s">
        <v>79</v>
      </c>
      <c r="E64" s="96">
        <f>1445500/1000</f>
        <v>1445.5</v>
      </c>
      <c r="F64" s="96">
        <f>SUM(H64:H64)</f>
        <v>335.86793</v>
      </c>
      <c r="G64" s="93" t="s">
        <v>80</v>
      </c>
      <c r="H64" s="129">
        <f>335867.93/1000</f>
        <v>335.86793</v>
      </c>
      <c r="I64" s="96">
        <f>SUM(K64:K64)</f>
        <v>0</v>
      </c>
      <c r="J64" s="93" t="s">
        <v>19</v>
      </c>
      <c r="K64" s="30" t="s">
        <v>19</v>
      </c>
      <c r="L64" s="1"/>
      <c r="M64" s="1"/>
      <c r="N64" s="1"/>
    </row>
    <row r="65" spans="1:14" s="8" customFormat="1" ht="59.25" customHeight="1" x14ac:dyDescent="0.25">
      <c r="B65" s="444" t="s">
        <v>81</v>
      </c>
      <c r="C65" s="16" t="s">
        <v>82</v>
      </c>
      <c r="D65" s="16" t="s">
        <v>83</v>
      </c>
      <c r="E65" s="17">
        <f>8181813.14/1000</f>
        <v>8181.8131399999993</v>
      </c>
      <c r="F65" s="17">
        <f>SUM(H65:H65)</f>
        <v>0</v>
      </c>
      <c r="G65" s="16" t="s">
        <v>19</v>
      </c>
      <c r="H65" s="17" t="s">
        <v>19</v>
      </c>
      <c r="I65" s="17">
        <f>SUM(K65:K65)</f>
        <v>0</v>
      </c>
      <c r="J65" s="16" t="s">
        <v>19</v>
      </c>
      <c r="K65" s="18" t="s">
        <v>19</v>
      </c>
      <c r="L65" s="1"/>
      <c r="M65" s="1"/>
      <c r="N65" s="1"/>
    </row>
    <row r="66" spans="1:14" s="8" customFormat="1" ht="50.25" customHeight="1" thickBot="1" x14ac:dyDescent="0.3">
      <c r="B66" s="448"/>
      <c r="C66" s="44" t="s">
        <v>84</v>
      </c>
      <c r="D66" s="44" t="s">
        <v>85</v>
      </c>
      <c r="E66" s="22">
        <f>514893.6/1000</f>
        <v>514.89359999999999</v>
      </c>
      <c r="F66" s="22">
        <f>H66</f>
        <v>514.89359999999999</v>
      </c>
      <c r="G66" s="44" t="s">
        <v>86</v>
      </c>
      <c r="H66" s="45">
        <f>514893.6/1000</f>
        <v>514.89359999999999</v>
      </c>
      <c r="I66" s="22"/>
      <c r="J66" s="44" t="s">
        <v>19</v>
      </c>
      <c r="K66" s="23" t="s">
        <v>19</v>
      </c>
      <c r="L66" s="1"/>
      <c r="M66" s="1"/>
      <c r="N66" s="1"/>
    </row>
    <row r="67" spans="1:14" s="8" customFormat="1" ht="50.25" customHeight="1" thickBot="1" x14ac:dyDescent="0.3">
      <c r="B67" s="448"/>
      <c r="C67" s="446" t="s">
        <v>162</v>
      </c>
      <c r="D67" s="446" t="s">
        <v>166</v>
      </c>
      <c r="E67" s="438">
        <f>1870809/1000</f>
        <v>1870.809</v>
      </c>
      <c r="F67" s="438">
        <f>H67+H68+H69</f>
        <v>1870.80927</v>
      </c>
      <c r="G67" s="92"/>
      <c r="H67" s="147">
        <f>426279.58/1000</f>
        <v>426.27958000000001</v>
      </c>
      <c r="I67" s="91"/>
      <c r="J67" s="92"/>
      <c r="K67" s="23"/>
      <c r="L67" s="1"/>
      <c r="M67" s="1"/>
      <c r="N67" s="1"/>
    </row>
    <row r="68" spans="1:14" s="8" customFormat="1" ht="50.25" customHeight="1" thickBot="1" x14ac:dyDescent="0.3">
      <c r="B68" s="448"/>
      <c r="C68" s="397"/>
      <c r="D68" s="397"/>
      <c r="E68" s="420"/>
      <c r="F68" s="420"/>
      <c r="G68" s="92"/>
      <c r="H68" s="147">
        <f>506089.2/1000</f>
        <v>506.08920000000001</v>
      </c>
      <c r="I68" s="91"/>
      <c r="J68" s="92"/>
      <c r="K68" s="23"/>
      <c r="L68" s="1"/>
      <c r="M68" s="1"/>
      <c r="N68" s="1"/>
    </row>
    <row r="69" spans="1:14" s="8" customFormat="1" ht="50.25" customHeight="1" thickBot="1" x14ac:dyDescent="0.3">
      <c r="B69" s="445"/>
      <c r="C69" s="398"/>
      <c r="D69" s="398"/>
      <c r="E69" s="424"/>
      <c r="F69" s="424"/>
      <c r="G69" s="92"/>
      <c r="H69" s="147">
        <f>938440.49/1000</f>
        <v>938.44048999999995</v>
      </c>
      <c r="I69" s="91"/>
      <c r="J69" s="92"/>
      <c r="K69" s="23"/>
      <c r="L69" s="1"/>
      <c r="M69" s="1"/>
      <c r="N69" s="1"/>
    </row>
    <row r="70" spans="1:14" s="8" customFormat="1" ht="75" customHeight="1" thickBot="1" x14ac:dyDescent="0.3">
      <c r="B70" s="90" t="s">
        <v>87</v>
      </c>
      <c r="C70" s="48" t="s">
        <v>88</v>
      </c>
      <c r="D70" s="19" t="s">
        <v>89</v>
      </c>
      <c r="E70" s="22">
        <v>1986</v>
      </c>
      <c r="F70" s="49">
        <f>SUM(H70)</f>
        <v>1986</v>
      </c>
      <c r="G70" s="44" t="s">
        <v>90</v>
      </c>
      <c r="H70" s="45">
        <v>1986</v>
      </c>
      <c r="I70" s="49">
        <f>SUM(K70)</f>
        <v>0</v>
      </c>
      <c r="J70" s="44" t="s">
        <v>19</v>
      </c>
      <c r="K70" s="23" t="s">
        <v>19</v>
      </c>
      <c r="L70" s="1"/>
      <c r="M70" s="1"/>
      <c r="N70" s="1"/>
    </row>
    <row r="71" spans="1:14" ht="45" customHeight="1" x14ac:dyDescent="0.25">
      <c r="A71" s="8"/>
      <c r="B71" s="435" t="s">
        <v>91</v>
      </c>
      <c r="C71" s="446" t="s">
        <v>92</v>
      </c>
      <c r="D71" s="446" t="s">
        <v>93</v>
      </c>
      <c r="E71" s="438">
        <v>118900</v>
      </c>
      <c r="F71" s="438">
        <f>SUM(H71:H76)</f>
        <v>15421.205240000001</v>
      </c>
      <c r="G71" s="16" t="s">
        <v>94</v>
      </c>
      <c r="H71" s="47">
        <v>1500</v>
      </c>
      <c r="I71" s="438">
        <f>SUM(K71:K78)</f>
        <v>12177.118559999999</v>
      </c>
      <c r="J71" s="50" t="s">
        <v>95</v>
      </c>
      <c r="K71" s="18">
        <f>3754970*1.18/1000</f>
        <v>4430.8645999999999</v>
      </c>
    </row>
    <row r="72" spans="1:14" ht="45" customHeight="1" x14ac:dyDescent="0.25">
      <c r="A72" s="8"/>
      <c r="B72" s="395"/>
      <c r="C72" s="397"/>
      <c r="D72" s="397"/>
      <c r="E72" s="420"/>
      <c r="F72" s="420"/>
      <c r="G72" s="51" t="s">
        <v>96</v>
      </c>
      <c r="H72" s="52">
        <v>2708.9962799999998</v>
      </c>
      <c r="I72" s="420"/>
      <c r="J72" s="41" t="s">
        <v>19</v>
      </c>
      <c r="K72" s="53" t="s">
        <v>19</v>
      </c>
    </row>
    <row r="73" spans="1:14" ht="45" customHeight="1" x14ac:dyDescent="0.25">
      <c r="A73" s="8"/>
      <c r="B73" s="395"/>
      <c r="C73" s="397"/>
      <c r="D73" s="397"/>
      <c r="E73" s="420"/>
      <c r="F73" s="420"/>
      <c r="G73" s="51" t="s">
        <v>97</v>
      </c>
      <c r="H73" s="26">
        <v>4430.8645999999999</v>
      </c>
      <c r="I73" s="420"/>
      <c r="J73" s="26" t="s">
        <v>19</v>
      </c>
      <c r="K73" s="40" t="s">
        <v>19</v>
      </c>
    </row>
    <row r="74" spans="1:14" ht="45" customHeight="1" x14ac:dyDescent="0.25">
      <c r="A74" s="8"/>
      <c r="B74" s="83"/>
      <c r="C74" s="78"/>
      <c r="D74" s="78"/>
      <c r="E74" s="81"/>
      <c r="F74" s="420"/>
      <c r="G74" s="79"/>
      <c r="H74" s="141">
        <f>3043458.36/1000</f>
        <v>3043.4583600000001</v>
      </c>
      <c r="I74" s="420"/>
      <c r="J74" s="81" t="s">
        <v>156</v>
      </c>
      <c r="K74" s="105">
        <v>3043.4583600000001</v>
      </c>
    </row>
    <row r="75" spans="1:14" ht="45" customHeight="1" x14ac:dyDescent="0.25">
      <c r="A75" s="8"/>
      <c r="B75" s="83"/>
      <c r="C75" s="78"/>
      <c r="D75" s="78"/>
      <c r="E75" s="81"/>
      <c r="F75" s="420"/>
      <c r="G75" s="79"/>
      <c r="H75" s="141">
        <f>3737886/1000</f>
        <v>3737.886</v>
      </c>
      <c r="I75" s="420"/>
      <c r="J75" s="96" t="s">
        <v>164</v>
      </c>
      <c r="K75" s="105">
        <v>3739.5533399999999</v>
      </c>
    </row>
    <row r="76" spans="1:14" ht="45" customHeight="1" x14ac:dyDescent="0.25">
      <c r="A76" s="8"/>
      <c r="B76" s="83"/>
      <c r="C76" s="78"/>
      <c r="D76" s="78"/>
      <c r="E76" s="81"/>
      <c r="F76" s="420"/>
      <c r="G76" s="79"/>
      <c r="H76" s="52"/>
      <c r="I76" s="420"/>
      <c r="J76" s="81" t="s">
        <v>161</v>
      </c>
      <c r="K76" s="105">
        <v>-1.6673399999999998</v>
      </c>
    </row>
    <row r="77" spans="1:14" ht="45" customHeight="1" x14ac:dyDescent="0.25">
      <c r="A77" s="8"/>
      <c r="B77" s="94"/>
      <c r="C77" s="95"/>
      <c r="D77" s="95"/>
      <c r="E77" s="96"/>
      <c r="F77" s="420"/>
      <c r="G77" s="98"/>
      <c r="H77" s="52"/>
      <c r="I77" s="420"/>
      <c r="J77" s="96" t="s">
        <v>173</v>
      </c>
      <c r="K77" s="138">
        <f>(311420/1000)*1.18</f>
        <v>367.47559999999999</v>
      </c>
    </row>
    <row r="78" spans="1:14" ht="45" customHeight="1" thickBot="1" x14ac:dyDescent="0.3">
      <c r="A78" s="8"/>
      <c r="B78" s="94"/>
      <c r="C78" s="95"/>
      <c r="D78" s="95"/>
      <c r="E78" s="96"/>
      <c r="F78" s="424"/>
      <c r="G78" s="98"/>
      <c r="H78" s="52"/>
      <c r="I78" s="424"/>
      <c r="J78" s="96" t="s">
        <v>174</v>
      </c>
      <c r="K78" s="138">
        <f>(506300/1000)*1.18</f>
        <v>597.43399999999997</v>
      </c>
    </row>
    <row r="79" spans="1:14" ht="36.75" customHeight="1" x14ac:dyDescent="0.25">
      <c r="A79" s="8"/>
      <c r="B79" s="435" t="s">
        <v>98</v>
      </c>
      <c r="C79" s="446" t="s">
        <v>99</v>
      </c>
      <c r="D79" s="446" t="s">
        <v>100</v>
      </c>
      <c r="E79" s="438">
        <v>7619.37</v>
      </c>
      <c r="F79" s="438">
        <f>SUM(H79:H83)</f>
        <v>3434.7524900000003</v>
      </c>
      <c r="G79" s="16" t="s">
        <v>101</v>
      </c>
      <c r="H79" s="47">
        <f>649436.5/1000</f>
        <v>649.43650000000002</v>
      </c>
      <c r="I79" s="438">
        <f>SUM(K79:K83)</f>
        <v>3537.0861315999996</v>
      </c>
      <c r="J79" s="420" t="s">
        <v>102</v>
      </c>
      <c r="K79" s="54">
        <f>2175878.11*1.18/1000</f>
        <v>2567.5361697999997</v>
      </c>
    </row>
    <row r="80" spans="1:14" ht="36.75" customHeight="1" x14ac:dyDescent="0.25">
      <c r="A80" s="8"/>
      <c r="B80" s="395"/>
      <c r="C80" s="397"/>
      <c r="D80" s="397"/>
      <c r="E80" s="420"/>
      <c r="F80" s="420"/>
      <c r="G80" s="51" t="s">
        <v>103</v>
      </c>
      <c r="H80" s="52">
        <f>198557.68/1000</f>
        <v>198.55768</v>
      </c>
      <c r="I80" s="420"/>
      <c r="J80" s="412"/>
      <c r="K80" s="53">
        <f>19222.141/1000</f>
        <v>19.222141000000001</v>
      </c>
    </row>
    <row r="81" spans="1:14" ht="45" customHeight="1" x14ac:dyDescent="0.25">
      <c r="A81" s="8"/>
      <c r="B81" s="395"/>
      <c r="C81" s="397"/>
      <c r="D81" s="397"/>
      <c r="E81" s="420"/>
      <c r="F81" s="420"/>
      <c r="G81" s="51" t="s">
        <v>104</v>
      </c>
      <c r="H81" s="52">
        <v>2586.7583100000002</v>
      </c>
      <c r="I81" s="420"/>
      <c r="J81" s="413" t="s">
        <v>105</v>
      </c>
      <c r="K81" s="53">
        <v>780.10994159999996</v>
      </c>
    </row>
    <row r="82" spans="1:14" ht="36.75" customHeight="1" x14ac:dyDescent="0.25">
      <c r="A82" s="8"/>
      <c r="B82" s="395"/>
      <c r="C82" s="397"/>
      <c r="D82" s="397"/>
      <c r="E82" s="420"/>
      <c r="F82" s="420"/>
      <c r="G82" s="24" t="s">
        <v>19</v>
      </c>
      <c r="H82" s="26" t="s">
        <v>19</v>
      </c>
      <c r="I82" s="420"/>
      <c r="J82" s="412"/>
      <c r="K82" s="40">
        <v>62.646070199999997</v>
      </c>
    </row>
    <row r="83" spans="1:14" ht="36.75" customHeight="1" thickBot="1" x14ac:dyDescent="0.3">
      <c r="A83" s="8"/>
      <c r="B83" s="83"/>
      <c r="C83" s="78"/>
      <c r="D83" s="78"/>
      <c r="E83" s="81"/>
      <c r="F83" s="81"/>
      <c r="G83" s="79" t="s">
        <v>19</v>
      </c>
      <c r="H83" s="52" t="s">
        <v>19</v>
      </c>
      <c r="I83" s="81"/>
      <c r="J83" s="81" t="s">
        <v>155</v>
      </c>
      <c r="K83" s="106">
        <v>107.57180899999999</v>
      </c>
    </row>
    <row r="84" spans="1:14" ht="45" customHeight="1" x14ac:dyDescent="0.25">
      <c r="A84" s="8"/>
      <c r="B84" s="435" t="s">
        <v>106</v>
      </c>
      <c r="C84" s="446" t="s">
        <v>107</v>
      </c>
      <c r="D84" s="446" t="s">
        <v>108</v>
      </c>
      <c r="E84" s="438">
        <v>6769.35</v>
      </c>
      <c r="F84" s="416">
        <f>SUM(H84:H86)</f>
        <v>2783.8772600000002</v>
      </c>
      <c r="G84" s="16" t="s">
        <v>109</v>
      </c>
      <c r="H84" s="47">
        <f>79484.74/1000</f>
        <v>79.484740000000002</v>
      </c>
      <c r="I84" s="416">
        <f>SUM(K84:K88)</f>
        <v>4152.8067449999999</v>
      </c>
      <c r="J84" s="438" t="s">
        <v>102</v>
      </c>
      <c r="K84" s="54">
        <f>1651360.6*1.18/1000</f>
        <v>1948.6055079999999</v>
      </c>
    </row>
    <row r="85" spans="1:14" ht="45" customHeight="1" x14ac:dyDescent="0.25">
      <c r="A85" s="8"/>
      <c r="B85" s="395"/>
      <c r="C85" s="397"/>
      <c r="D85" s="397"/>
      <c r="E85" s="420"/>
      <c r="F85" s="417"/>
      <c r="G85" s="51" t="s">
        <v>110</v>
      </c>
      <c r="H85" s="52">
        <f>697128.27/1000</f>
        <v>697.12827000000004</v>
      </c>
      <c r="I85" s="417"/>
      <c r="J85" s="412"/>
      <c r="K85" s="53">
        <f>58658.744/1000</f>
        <v>58.658743999999999</v>
      </c>
    </row>
    <row r="86" spans="1:14" ht="45" customHeight="1" x14ac:dyDescent="0.25">
      <c r="A86" s="8"/>
      <c r="B86" s="395"/>
      <c r="C86" s="397"/>
      <c r="D86" s="397"/>
      <c r="E86" s="420"/>
      <c r="F86" s="417"/>
      <c r="G86" s="51" t="s">
        <v>111</v>
      </c>
      <c r="H86" s="52">
        <v>2007.2642499999999</v>
      </c>
      <c r="I86" s="417"/>
      <c r="J86" s="26" t="s">
        <v>19</v>
      </c>
      <c r="K86" s="53" t="s">
        <v>19</v>
      </c>
    </row>
    <row r="87" spans="1:14" ht="45" customHeight="1" x14ac:dyDescent="0.25">
      <c r="A87" s="8"/>
      <c r="B87" s="83"/>
      <c r="C87" s="78"/>
      <c r="D87" s="78"/>
      <c r="E87" s="81"/>
      <c r="F87" s="417"/>
      <c r="G87" s="79" t="s">
        <v>19</v>
      </c>
      <c r="H87" s="52" t="s">
        <v>19</v>
      </c>
      <c r="I87" s="417"/>
      <c r="J87" s="82" t="s">
        <v>155</v>
      </c>
      <c r="K87" s="105">
        <v>228.97817399999997</v>
      </c>
    </row>
    <row r="88" spans="1:14" ht="45" customHeight="1" thickBot="1" x14ac:dyDescent="0.3">
      <c r="A88" s="8"/>
      <c r="B88" s="83"/>
      <c r="C88" s="78"/>
      <c r="D88" s="78"/>
      <c r="E88" s="81"/>
      <c r="F88" s="449"/>
      <c r="G88" s="79" t="s">
        <v>19</v>
      </c>
      <c r="H88" s="52" t="s">
        <v>19</v>
      </c>
      <c r="I88" s="449"/>
      <c r="J88" s="82" t="s">
        <v>155</v>
      </c>
      <c r="K88" s="105">
        <v>1916.5643189999998</v>
      </c>
    </row>
    <row r="89" spans="1:14" ht="60" customHeight="1" x14ac:dyDescent="0.25">
      <c r="A89" s="8"/>
      <c r="B89" s="435" t="s">
        <v>112</v>
      </c>
      <c r="C89" s="42" t="s">
        <v>113</v>
      </c>
      <c r="D89" s="42" t="s">
        <v>114</v>
      </c>
      <c r="E89" s="43">
        <f>12730535.39/1000</f>
        <v>12730.535390000001</v>
      </c>
      <c r="F89" s="43">
        <f>SUM(H89:H89)</f>
        <v>3384.1592099999998</v>
      </c>
      <c r="G89" s="16" t="s">
        <v>115</v>
      </c>
      <c r="H89" s="17">
        <f>3384159.21/1000</f>
        <v>3384.1592099999998</v>
      </c>
      <c r="I89" s="43">
        <f>SUM(K89:K89)</f>
        <v>0</v>
      </c>
      <c r="J89" s="17" t="s">
        <v>19</v>
      </c>
      <c r="K89" s="18" t="s">
        <v>19</v>
      </c>
    </row>
    <row r="90" spans="1:14" ht="75.75" customHeight="1" thickBot="1" x14ac:dyDescent="0.3">
      <c r="A90" s="8"/>
      <c r="B90" s="395"/>
      <c r="C90" s="19" t="s">
        <v>113</v>
      </c>
      <c r="D90" s="19" t="s">
        <v>116</v>
      </c>
      <c r="E90" s="21">
        <v>19677.026999999998</v>
      </c>
      <c r="F90" s="21">
        <f>SUM(H90:H90)</f>
        <v>7747.4874499999996</v>
      </c>
      <c r="G90" s="44" t="s">
        <v>117</v>
      </c>
      <c r="H90" s="45">
        <v>7747.4874499999996</v>
      </c>
      <c r="I90" s="21">
        <f>SUM(K90:K90)</f>
        <v>0</v>
      </c>
      <c r="J90" s="22" t="s">
        <v>19</v>
      </c>
      <c r="K90" s="55" t="s">
        <v>19</v>
      </c>
    </row>
    <row r="91" spans="1:14" ht="75.75" customHeight="1" x14ac:dyDescent="0.25">
      <c r="A91" s="8"/>
      <c r="B91" s="395"/>
      <c r="C91" s="446" t="s">
        <v>107</v>
      </c>
      <c r="D91" s="446" t="s">
        <v>152</v>
      </c>
      <c r="E91" s="438">
        <v>6856.6313499999997</v>
      </c>
      <c r="F91" s="438">
        <f>SUM(H91:H93)</f>
        <v>2688.4149500000003</v>
      </c>
      <c r="G91" s="78"/>
      <c r="H91" s="142">
        <f>2437856.31/1000</f>
        <v>2437.8563100000001</v>
      </c>
      <c r="I91" s="438">
        <f>SUM(K91:K93)</f>
        <v>4643.5413807999994</v>
      </c>
      <c r="J91" s="81" t="s">
        <v>154</v>
      </c>
      <c r="K91" s="104">
        <v>250.55863939999998</v>
      </c>
    </row>
    <row r="92" spans="1:14" ht="75.75" customHeight="1" thickBot="1" x14ac:dyDescent="0.3">
      <c r="A92" s="8"/>
      <c r="B92" s="396"/>
      <c r="C92" s="397"/>
      <c r="D92" s="397"/>
      <c r="E92" s="420"/>
      <c r="F92" s="420"/>
      <c r="G92" s="24"/>
      <c r="H92" s="143">
        <f>250558.64/1000</f>
        <v>250.55864000000003</v>
      </c>
      <c r="I92" s="420"/>
      <c r="J92" s="26" t="s">
        <v>153</v>
      </c>
      <c r="K92" s="107">
        <v>2437.8563055999998</v>
      </c>
    </row>
    <row r="93" spans="1:14" ht="75.75" customHeight="1" thickBot="1" x14ac:dyDescent="0.3">
      <c r="A93" s="8"/>
      <c r="B93" s="94"/>
      <c r="C93" s="452"/>
      <c r="D93" s="452"/>
      <c r="E93" s="412"/>
      <c r="F93" s="412"/>
      <c r="G93" s="24"/>
      <c r="H93" s="26"/>
      <c r="I93" s="412"/>
      <c r="J93" s="26" t="s">
        <v>172</v>
      </c>
      <c r="K93" s="137">
        <f>(1656886.81/1000)*1.18</f>
        <v>1955.1264357999999</v>
      </c>
    </row>
    <row r="94" spans="1:14" ht="33.75" customHeight="1" x14ac:dyDescent="0.25">
      <c r="A94" s="8"/>
      <c r="B94" s="435" t="s">
        <v>118</v>
      </c>
      <c r="C94" s="462" t="s">
        <v>119</v>
      </c>
      <c r="D94" s="462" t="s">
        <v>120</v>
      </c>
      <c r="E94" s="413">
        <v>5063.8999999999996</v>
      </c>
      <c r="F94" s="413">
        <f>SUM(H94:H95)</f>
        <v>4169.2383799999998</v>
      </c>
      <c r="G94" s="24" t="s">
        <v>121</v>
      </c>
      <c r="H94" s="26">
        <f>3215238.38/1000</f>
        <v>3215.2383799999998</v>
      </c>
      <c r="I94" s="413">
        <f>SUM(K94:K95)</f>
        <v>0</v>
      </c>
      <c r="J94" s="26" t="s">
        <v>19</v>
      </c>
      <c r="K94" s="28" t="s">
        <v>19</v>
      </c>
    </row>
    <row r="95" spans="1:14" ht="33.75" customHeight="1" thickBot="1" x14ac:dyDescent="0.3">
      <c r="A95" s="8"/>
      <c r="B95" s="396"/>
      <c r="C95" s="398"/>
      <c r="D95" s="398"/>
      <c r="E95" s="424"/>
      <c r="F95" s="424"/>
      <c r="G95" s="44" t="s">
        <v>122</v>
      </c>
      <c r="H95" s="22">
        <f>954000/1000</f>
        <v>954</v>
      </c>
      <c r="I95" s="424"/>
      <c r="J95" s="21" t="s">
        <v>19</v>
      </c>
      <c r="K95" s="23" t="s">
        <v>19</v>
      </c>
    </row>
    <row r="96" spans="1:14" s="8" customFormat="1" ht="42.75" customHeight="1" thickBot="1" x14ac:dyDescent="0.3">
      <c r="B96" s="56" t="s">
        <v>123</v>
      </c>
      <c r="C96" s="42" t="s">
        <v>124</v>
      </c>
      <c r="D96" s="46" t="s">
        <v>125</v>
      </c>
      <c r="E96" s="43">
        <v>692.40700000000004</v>
      </c>
      <c r="F96" s="43">
        <f>SUM(H96:H96)</f>
        <v>344.08287999999999</v>
      </c>
      <c r="G96" s="16" t="s">
        <v>126</v>
      </c>
      <c r="H96" s="17">
        <f>344082.88/1000</f>
        <v>344.08287999999999</v>
      </c>
      <c r="I96" s="43">
        <f>SUM(K96:K96)</f>
        <v>0</v>
      </c>
      <c r="J96" s="16" t="s">
        <v>19</v>
      </c>
      <c r="K96" s="18" t="s">
        <v>19</v>
      </c>
      <c r="L96" s="1"/>
      <c r="M96" s="1"/>
      <c r="N96" s="1"/>
    </row>
    <row r="97" spans="2:14" s="8" customFormat="1" ht="16.5" customHeight="1" thickBot="1" x14ac:dyDescent="0.3">
      <c r="B97" s="32" t="s">
        <v>127</v>
      </c>
      <c r="C97" s="33"/>
      <c r="D97" s="33"/>
      <c r="E97" s="33"/>
      <c r="F97" s="34">
        <f>SUM(F26:F96)</f>
        <v>179129.01295000003</v>
      </c>
      <c r="G97" s="37"/>
      <c r="H97" s="34">
        <f>SUM(H26:H96)</f>
        <v>179129.01295000003</v>
      </c>
      <c r="I97" s="34">
        <f>SUM(I26:I96)</f>
        <v>68678.684311200006</v>
      </c>
      <c r="J97" s="37"/>
      <c r="K97" s="36">
        <f>SUM(K26:K96)</f>
        <v>68678.684311199991</v>
      </c>
      <c r="L97" s="1"/>
      <c r="M97" s="1"/>
      <c r="N97" s="1"/>
    </row>
    <row r="98" spans="2:14" s="8" customFormat="1" ht="36.75" customHeight="1" thickBot="1" x14ac:dyDescent="0.3">
      <c r="B98" s="32" t="s">
        <v>128</v>
      </c>
      <c r="C98" s="33"/>
      <c r="D98" s="33"/>
      <c r="E98" s="33"/>
      <c r="F98" s="34">
        <f>H98</f>
        <v>13470.795</v>
      </c>
      <c r="G98" s="35"/>
      <c r="H98" s="34">
        <f>K98</f>
        <v>13470.795</v>
      </c>
      <c r="I98" s="34">
        <f>K98</f>
        <v>13470.795</v>
      </c>
      <c r="J98" s="37"/>
      <c r="K98" s="36">
        <v>13470.795</v>
      </c>
      <c r="L98" s="1"/>
      <c r="M98" s="1"/>
      <c r="N98" s="1"/>
    </row>
    <row r="99" spans="2:14" s="8" customFormat="1" ht="32.25" thickBot="1" x14ac:dyDescent="0.3">
      <c r="B99" s="32" t="s">
        <v>129</v>
      </c>
      <c r="C99" s="33"/>
      <c r="D99" s="33"/>
      <c r="E99" s="33"/>
      <c r="F99" s="34">
        <f>F97+F98</f>
        <v>192599.80795000005</v>
      </c>
      <c r="G99" s="35"/>
      <c r="H99" s="34">
        <f>H97+H98</f>
        <v>192599.80795000005</v>
      </c>
      <c r="I99" s="34">
        <f>I97+I98</f>
        <v>82149.479311200004</v>
      </c>
      <c r="J99" s="37"/>
      <c r="K99" s="36">
        <f>K97+K98</f>
        <v>82149.47931119999</v>
      </c>
      <c r="L99" s="1"/>
      <c r="M99" s="1"/>
      <c r="N99" s="1"/>
    </row>
    <row r="100" spans="2:14" s="8" customFormat="1" ht="48" thickBot="1" x14ac:dyDescent="0.3">
      <c r="B100" s="32" t="s">
        <v>130</v>
      </c>
      <c r="C100" s="33"/>
      <c r="D100" s="33"/>
      <c r="E100" s="33"/>
      <c r="F100" s="34">
        <f>F24+F99</f>
        <v>245138.70776000005</v>
      </c>
      <c r="G100" s="37"/>
      <c r="H100" s="34">
        <f>H24+H99</f>
        <v>245138.70776000005</v>
      </c>
      <c r="I100" s="34">
        <f>I24+I99</f>
        <v>84991.576634600002</v>
      </c>
      <c r="J100" s="37"/>
      <c r="K100" s="36">
        <f>K24+K99</f>
        <v>84991.576634599987</v>
      </c>
      <c r="L100" s="1"/>
      <c r="M100" s="1"/>
      <c r="N100" s="1"/>
    </row>
    <row r="101" spans="2:14" s="8" customFormat="1" ht="15.75" x14ac:dyDescent="0.25">
      <c r="B101" s="57"/>
      <c r="C101" s="57"/>
      <c r="D101" s="57"/>
      <c r="E101" s="57"/>
      <c r="F101" s="58"/>
      <c r="G101" s="4"/>
      <c r="H101" s="58"/>
      <c r="I101" s="58"/>
      <c r="J101" s="4"/>
      <c r="K101" s="58"/>
      <c r="L101" s="1"/>
      <c r="M101" s="1"/>
      <c r="N101" s="1"/>
    </row>
    <row r="102" spans="2:14" s="8" customFormat="1" ht="15.75" x14ac:dyDescent="0.25">
      <c r="B102" s="57"/>
      <c r="C102" s="57"/>
      <c r="D102" s="57"/>
      <c r="E102" s="57"/>
      <c r="F102" s="58"/>
      <c r="G102" s="4"/>
      <c r="H102" s="58"/>
      <c r="I102" s="58"/>
      <c r="J102" s="4"/>
      <c r="K102" s="58"/>
      <c r="L102" s="1"/>
      <c r="M102" s="1"/>
      <c r="N102" s="1"/>
    </row>
    <row r="104" spans="2:14" ht="15.75" x14ac:dyDescent="0.25">
      <c r="B104" s="561" t="s">
        <v>131</v>
      </c>
      <c r="C104" s="561"/>
      <c r="D104" s="561"/>
      <c r="E104" s="562"/>
      <c r="F104" s="562"/>
    </row>
    <row r="105" spans="2:14" ht="15.75" x14ac:dyDescent="0.25">
      <c r="B105" s="563" t="s">
        <v>132</v>
      </c>
      <c r="C105" s="563"/>
      <c r="D105" s="563"/>
      <c r="E105" s="564"/>
      <c r="F105" s="564"/>
    </row>
    <row r="106" spans="2:14" ht="15.75" x14ac:dyDescent="0.25">
      <c r="B106" s="563" t="s">
        <v>133</v>
      </c>
      <c r="C106" s="563"/>
      <c r="D106" s="563"/>
      <c r="E106" s="563"/>
      <c r="F106" s="61"/>
      <c r="H106" s="59"/>
    </row>
    <row r="107" spans="2:14" ht="16.5" thickBot="1" x14ac:dyDescent="0.3">
      <c r="B107" s="62"/>
      <c r="C107" s="62"/>
      <c r="D107" s="571"/>
      <c r="E107" s="571"/>
      <c r="F107" s="61"/>
    </row>
    <row r="108" spans="2:14" ht="16.5" thickBot="1" x14ac:dyDescent="0.3">
      <c r="B108" s="63" t="s">
        <v>134</v>
      </c>
      <c r="C108" s="64" t="s">
        <v>135</v>
      </c>
      <c r="D108" s="572" t="s">
        <v>136</v>
      </c>
      <c r="E108" s="573"/>
      <c r="F108" s="61"/>
    </row>
    <row r="109" spans="2:14" ht="16.5" thickBot="1" x14ac:dyDescent="0.3">
      <c r="B109" s="65"/>
      <c r="C109" s="66"/>
      <c r="D109" s="572"/>
      <c r="E109" s="573"/>
      <c r="F109" s="61"/>
    </row>
    <row r="110" spans="2:14" ht="30.75" thickBot="1" x14ac:dyDescent="0.3">
      <c r="B110" s="67" t="s">
        <v>137</v>
      </c>
      <c r="C110" s="68">
        <v>55187.1</v>
      </c>
      <c r="D110" s="559">
        <v>156081.32999999999</v>
      </c>
      <c r="E110" s="560"/>
      <c r="F110" s="61"/>
    </row>
    <row r="111" spans="2:14" ht="20.25" customHeight="1" thickBot="1" x14ac:dyDescent="0.3">
      <c r="B111" s="67" t="s">
        <v>138</v>
      </c>
      <c r="C111" s="68">
        <v>114745.97</v>
      </c>
      <c r="D111" s="559">
        <v>114745.97</v>
      </c>
      <c r="E111" s="560"/>
      <c r="F111" s="61"/>
    </row>
    <row r="112" spans="2:14" ht="30.75" thickBot="1" x14ac:dyDescent="0.3">
      <c r="B112" s="67" t="s">
        <v>139</v>
      </c>
      <c r="C112" s="68">
        <v>28441.74</v>
      </c>
      <c r="D112" s="559">
        <v>28756.77</v>
      </c>
      <c r="E112" s="560"/>
      <c r="F112" s="61"/>
    </row>
    <row r="113" spans="1:14" ht="16.5" thickBot="1" x14ac:dyDescent="0.3">
      <c r="B113" s="69" t="s">
        <v>140</v>
      </c>
      <c r="C113" s="70">
        <v>382.99</v>
      </c>
      <c r="D113" s="567">
        <v>510.42</v>
      </c>
      <c r="E113" s="568"/>
      <c r="F113" s="61"/>
    </row>
    <row r="114" spans="1:14" ht="16.5" thickBot="1" x14ac:dyDescent="0.3">
      <c r="B114" s="69" t="s">
        <v>141</v>
      </c>
      <c r="C114" s="70" t="s">
        <v>142</v>
      </c>
      <c r="D114" s="565">
        <v>28246.35</v>
      </c>
      <c r="E114" s="566"/>
      <c r="F114" s="61"/>
    </row>
    <row r="115" spans="1:14" ht="91.5" customHeight="1" thickBot="1" x14ac:dyDescent="0.3">
      <c r="B115" s="67" t="s">
        <v>147</v>
      </c>
      <c r="C115" s="76">
        <v>117807.93</v>
      </c>
      <c r="D115" s="569">
        <v>114273.69</v>
      </c>
      <c r="E115" s="570"/>
      <c r="F115" s="72"/>
    </row>
    <row r="116" spans="1:14" ht="34.5" customHeight="1" thickBot="1" x14ac:dyDescent="0.3">
      <c r="B116" s="67" t="s">
        <v>143</v>
      </c>
      <c r="C116" s="68">
        <v>12472.72</v>
      </c>
      <c r="D116" s="559">
        <v>10408.469999999999</v>
      </c>
      <c r="E116" s="560"/>
      <c r="F116" s="61"/>
    </row>
    <row r="117" spans="1:14" ht="45.75" thickBot="1" x14ac:dyDescent="0.3">
      <c r="B117" s="67" t="s">
        <v>144</v>
      </c>
      <c r="C117" s="68">
        <v>10416.77</v>
      </c>
      <c r="D117" s="559">
        <v>-33598.080000000002</v>
      </c>
      <c r="E117" s="560"/>
      <c r="F117" s="61"/>
      <c r="G117" s="59"/>
      <c r="H117" s="59"/>
      <c r="I117" s="59"/>
      <c r="J117" s="59"/>
    </row>
    <row r="118" spans="1:14" ht="30.75" thickBot="1" x14ac:dyDescent="0.3">
      <c r="B118" s="69" t="s">
        <v>145</v>
      </c>
      <c r="C118" s="71">
        <v>7553.93</v>
      </c>
      <c r="D118" s="565">
        <v>47490.1</v>
      </c>
      <c r="E118" s="566"/>
      <c r="F118" s="61"/>
      <c r="G118" s="59"/>
      <c r="H118" s="59"/>
      <c r="I118" s="59"/>
      <c r="J118" s="59"/>
    </row>
    <row r="119" spans="1:14" ht="24" customHeight="1" thickBot="1" x14ac:dyDescent="0.3">
      <c r="B119" s="69" t="s">
        <v>146</v>
      </c>
      <c r="C119" s="71">
        <v>17970.7</v>
      </c>
      <c r="D119" s="565">
        <v>13892.02</v>
      </c>
      <c r="E119" s="566"/>
      <c r="F119" s="61"/>
      <c r="G119" s="59"/>
      <c r="H119" s="59"/>
      <c r="I119" s="59"/>
      <c r="J119" s="59"/>
    </row>
    <row r="120" spans="1:14" x14ac:dyDescent="0.25">
      <c r="F120" s="59"/>
      <c r="G120" s="59"/>
      <c r="H120" s="59"/>
      <c r="I120" s="59"/>
      <c r="J120" s="59"/>
    </row>
    <row r="121" spans="1:14" x14ac:dyDescent="0.25">
      <c r="F121" s="59"/>
      <c r="G121" s="59"/>
      <c r="H121" s="59"/>
      <c r="I121" s="59"/>
      <c r="J121" s="59"/>
    </row>
    <row r="122" spans="1:14" ht="48" customHeight="1" x14ac:dyDescent="0.25">
      <c r="A122" s="1"/>
      <c r="B122" s="73" t="s">
        <v>148</v>
      </c>
      <c r="C122" s="74"/>
      <c r="D122" s="75" t="s">
        <v>149</v>
      </c>
      <c r="E122" s="1"/>
      <c r="F122" s="1"/>
      <c r="G122" s="1"/>
      <c r="H122" s="1"/>
      <c r="I122" s="1"/>
      <c r="J122" s="1"/>
      <c r="K122" s="1"/>
      <c r="L122" s="7"/>
      <c r="M122" s="7"/>
      <c r="N122" s="7"/>
    </row>
    <row r="123" spans="1:14" ht="18" x14ac:dyDescent="0.25">
      <c r="A123" s="1"/>
      <c r="B123" s="75"/>
      <c r="C123" s="75"/>
      <c r="D123" s="75"/>
      <c r="E123" s="1"/>
      <c r="F123" s="1"/>
      <c r="G123" s="1"/>
      <c r="H123" s="1"/>
      <c r="I123" s="1"/>
      <c r="J123" s="1"/>
      <c r="K123" s="1"/>
      <c r="L123" s="7"/>
      <c r="M123" s="7"/>
      <c r="N123" s="7"/>
    </row>
    <row r="124" spans="1:14" ht="44.25" customHeight="1" x14ac:dyDescent="0.25">
      <c r="A124" s="1"/>
      <c r="B124" s="75" t="s">
        <v>150</v>
      </c>
      <c r="C124" s="75"/>
      <c r="D124" s="75" t="s">
        <v>151</v>
      </c>
      <c r="E124" s="1"/>
      <c r="F124" s="1"/>
      <c r="G124" s="1"/>
      <c r="H124" s="1"/>
      <c r="I124" s="1"/>
      <c r="J124" s="1"/>
      <c r="K124" s="1"/>
      <c r="L124" s="7"/>
      <c r="M124" s="7"/>
      <c r="N124" s="7"/>
    </row>
  </sheetData>
  <autoFilter ref="A7:N100"/>
  <mergeCells count="97">
    <mergeCell ref="B94:B95"/>
    <mergeCell ref="C67:C69"/>
    <mergeCell ref="B59:B63"/>
    <mergeCell ref="D67:D69"/>
    <mergeCell ref="E67:E69"/>
    <mergeCell ref="B84:B86"/>
    <mergeCell ref="F91:F93"/>
    <mergeCell ref="C91:C93"/>
    <mergeCell ref="D91:D93"/>
    <mergeCell ref="E91:E93"/>
    <mergeCell ref="I91:I93"/>
    <mergeCell ref="I94:I95"/>
    <mergeCell ref="C94:C95"/>
    <mergeCell ref="D94:D95"/>
    <mergeCell ref="E94:E95"/>
    <mergeCell ref="F94:F95"/>
    <mergeCell ref="F44:F58"/>
    <mergeCell ref="J79:J80"/>
    <mergeCell ref="J81:J82"/>
    <mergeCell ref="I44:I52"/>
    <mergeCell ref="F59:F60"/>
    <mergeCell ref="G47:G48"/>
    <mergeCell ref="F67:F69"/>
    <mergeCell ref="I59:I61"/>
    <mergeCell ref="I71:I78"/>
    <mergeCell ref="F71:F78"/>
    <mergeCell ref="J84:J85"/>
    <mergeCell ref="B79:B82"/>
    <mergeCell ref="C79:C82"/>
    <mergeCell ref="D79:D82"/>
    <mergeCell ref="E79:E82"/>
    <mergeCell ref="F79:F82"/>
    <mergeCell ref="I79:I82"/>
    <mergeCell ref="F84:F88"/>
    <mergeCell ref="I84:I88"/>
    <mergeCell ref="C84:C86"/>
    <mergeCell ref="D84:D86"/>
    <mergeCell ref="E84:E86"/>
    <mergeCell ref="D44:D52"/>
    <mergeCell ref="E44:E52"/>
    <mergeCell ref="B71:B73"/>
    <mergeCell ref="C71:C73"/>
    <mergeCell ref="C62:D62"/>
    <mergeCell ref="E71:E73"/>
    <mergeCell ref="C44:C58"/>
    <mergeCell ref="B26:B58"/>
    <mergeCell ref="C26:C35"/>
    <mergeCell ref="D26:D35"/>
    <mergeCell ref="E26:E35"/>
    <mergeCell ref="B65:B69"/>
    <mergeCell ref="D71:D73"/>
    <mergeCell ref="C59:C60"/>
    <mergeCell ref="D59:D60"/>
    <mergeCell ref="E59:E60"/>
    <mergeCell ref="F15:F17"/>
    <mergeCell ref="D36:D41"/>
    <mergeCell ref="E36:E41"/>
    <mergeCell ref="I15:I17"/>
    <mergeCell ref="C20:D20"/>
    <mergeCell ref="C36:C41"/>
    <mergeCell ref="F36:F43"/>
    <mergeCell ref="I36:I43"/>
    <mergeCell ref="F26:F35"/>
    <mergeCell ref="I26:I35"/>
    <mergeCell ref="B2:K2"/>
    <mergeCell ref="B3:K3"/>
    <mergeCell ref="B4:K4"/>
    <mergeCell ref="B6:B7"/>
    <mergeCell ref="C6:D6"/>
    <mergeCell ref="E6:E7"/>
    <mergeCell ref="F6:F7"/>
    <mergeCell ref="G6:H6"/>
    <mergeCell ref="I6:I7"/>
    <mergeCell ref="J6:K6"/>
    <mergeCell ref="B12:B20"/>
    <mergeCell ref="C15:C17"/>
    <mergeCell ref="D15:D17"/>
    <mergeCell ref="E15:E17"/>
    <mergeCell ref="D119:E119"/>
    <mergeCell ref="D112:E112"/>
    <mergeCell ref="D113:E113"/>
    <mergeCell ref="D114:E114"/>
    <mergeCell ref="D115:E115"/>
    <mergeCell ref="B89:B92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B104:D104"/>
    <mergeCell ref="E104:F104"/>
    <mergeCell ref="B105:D105"/>
    <mergeCell ref="E105:F105"/>
    <mergeCell ref="B106:E106"/>
  </mergeCells>
  <pageMargins left="0.51181102362204722" right="0.31496062992125984" top="0.46" bottom="0.42" header="0.31496062992125984" footer="0.31496062992125984"/>
  <pageSetup paperSize="9" scale="45" fitToWidth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для Пономарева </vt:lpstr>
      <vt:lpstr>9 месяцев</vt:lpstr>
      <vt:lpstr>янв-июнь 17 с РЗЗ для Админ (2)</vt:lpstr>
      <vt:lpstr>янв-май17 с РЗЗ для Админ</vt:lpstr>
      <vt:lpstr>Лист1</vt:lpstr>
      <vt:lpstr>Лист2</vt:lpstr>
      <vt:lpstr>Лист3</vt:lpstr>
      <vt:lpstr>'9 месяцев'!Заголовки_для_печати</vt:lpstr>
      <vt:lpstr>'для Пономарева '!Заголовки_для_печати</vt:lpstr>
      <vt:lpstr>'янв-июнь 17 с РЗЗ для Админ (2)'!Заголовки_для_печати</vt:lpstr>
      <vt:lpstr>'янв-май17 с РЗЗ для Админ'!Заголовки_для_печати</vt:lpstr>
      <vt:lpstr>'9 месяцев'!Область_печати</vt:lpstr>
      <vt:lpstr>'для Пономарева '!Область_печати</vt:lpstr>
      <vt:lpstr>'янв-июнь 17 с РЗЗ для Админ (2)'!Область_печати</vt:lpstr>
      <vt:lpstr>'янв-май17 с РЗЗ для Админ'!Область_печати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2017-10-20T07:43:55Z</dcterms:modified>
</cp:coreProperties>
</file>