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1+2+3+4кв 2015,УК для админ " sheetId="4" r:id="rId1"/>
    <sheet name="3кв 2015для админ " sheetId="5" r:id="rId2"/>
    <sheet name="4 кв 2015 для админ" sheetId="6" r:id="rId3"/>
    <sheet name="Лист1" sheetId="1" r:id="rId4"/>
    <sheet name="Лист2" sheetId="2" r:id="rId5"/>
    <sheet name="Лист3" sheetId="3" r:id="rId6"/>
  </sheets>
  <calcPr calcId="145621"/>
</workbook>
</file>

<file path=xl/calcChain.xml><?xml version="1.0" encoding="utf-8"?>
<calcChain xmlns="http://schemas.openxmlformats.org/spreadsheetml/2006/main">
  <c r="D477" i="4" l="1"/>
  <c r="C477" i="4"/>
  <c r="H156" i="6" l="1"/>
  <c r="H155" i="6"/>
  <c r="F154" i="6" s="1"/>
  <c r="I154" i="6"/>
  <c r="H154" i="6"/>
  <c r="E154" i="6"/>
  <c r="H153" i="6"/>
  <c r="K151" i="6"/>
  <c r="I151" i="6"/>
  <c r="H151" i="6"/>
  <c r="F151" i="6" s="1"/>
  <c r="E151" i="6"/>
  <c r="K150" i="6"/>
  <c r="I150" i="6"/>
  <c r="H150" i="6"/>
  <c r="F150" i="6" s="1"/>
  <c r="K149" i="6"/>
  <c r="I149" i="6"/>
  <c r="H149" i="6"/>
  <c r="F149" i="6" s="1"/>
  <c r="I148" i="6"/>
  <c r="H148" i="6"/>
  <c r="F148" i="6" s="1"/>
  <c r="H147" i="6"/>
  <c r="F147" i="6" s="1"/>
  <c r="H146" i="6"/>
  <c r="F146" i="6" s="1"/>
  <c r="K145" i="6"/>
  <c r="I145" i="6"/>
  <c r="F145" i="6"/>
  <c r="K144" i="6"/>
  <c r="I144" i="6" s="1"/>
  <c r="H144" i="6"/>
  <c r="F144" i="6"/>
  <c r="K143" i="6"/>
  <c r="I143" i="6" s="1"/>
  <c r="H143" i="6"/>
  <c r="F143" i="6"/>
  <c r="K142" i="6"/>
  <c r="K141" i="6"/>
  <c r="K140" i="6"/>
  <c r="K139" i="6"/>
  <c r="K138" i="6"/>
  <c r="I138" i="6" s="1"/>
  <c r="H138" i="6"/>
  <c r="F138" i="6"/>
  <c r="E138" i="6"/>
  <c r="K137" i="6"/>
  <c r="I137" i="6"/>
  <c r="F137" i="6"/>
  <c r="H136" i="6"/>
  <c r="K136" i="6" s="1"/>
  <c r="I136" i="6" s="1"/>
  <c r="F136" i="6"/>
  <c r="K135" i="6"/>
  <c r="I135" i="6" s="1"/>
  <c r="F135" i="6"/>
  <c r="K134" i="6"/>
  <c r="I134" i="6" s="1"/>
  <c r="H134" i="6"/>
  <c r="F134" i="6"/>
  <c r="K133" i="6"/>
  <c r="I133" i="6" s="1"/>
  <c r="H133" i="6"/>
  <c r="F133" i="6"/>
  <c r="K132" i="6"/>
  <c r="I132" i="6" s="1"/>
  <c r="H132" i="6"/>
  <c r="F132" i="6"/>
  <c r="K131" i="6"/>
  <c r="I131" i="6" s="1"/>
  <c r="F131" i="6"/>
  <c r="K130" i="6"/>
  <c r="I130" i="6"/>
  <c r="H130" i="6"/>
  <c r="F130" i="6" s="1"/>
  <c r="K129" i="6"/>
  <c r="I129" i="6"/>
  <c r="H129" i="6"/>
  <c r="F129" i="6" s="1"/>
  <c r="K128" i="6"/>
  <c r="I128" i="6"/>
  <c r="H128" i="6"/>
  <c r="F128" i="6" s="1"/>
  <c r="K127" i="6"/>
  <c r="I127" i="6"/>
  <c r="I126" i="6"/>
  <c r="H126" i="6"/>
  <c r="F126" i="6"/>
  <c r="I125" i="6"/>
  <c r="H125" i="6"/>
  <c r="F125" i="6" s="1"/>
  <c r="E125" i="6"/>
  <c r="I124" i="6"/>
  <c r="H124" i="6"/>
  <c r="F124" i="6" s="1"/>
  <c r="I123" i="6"/>
  <c r="H123" i="6"/>
  <c r="F123" i="6" s="1"/>
  <c r="I122" i="6"/>
  <c r="H122" i="6"/>
  <c r="I121" i="6"/>
  <c r="H121" i="6"/>
  <c r="F121" i="6" s="1"/>
  <c r="E121" i="6"/>
  <c r="K120" i="6"/>
  <c r="I120" i="6" s="1"/>
  <c r="H120" i="6"/>
  <c r="F120" i="6"/>
  <c r="K119" i="6"/>
  <c r="I119" i="6" s="1"/>
  <c r="K118" i="6"/>
  <c r="I118" i="6"/>
  <c r="H118" i="6"/>
  <c r="F118" i="6" s="1"/>
  <c r="K117" i="6"/>
  <c r="I117" i="6"/>
  <c r="H117" i="6"/>
  <c r="F117" i="6" s="1"/>
  <c r="K116" i="6"/>
  <c r="K115" i="6"/>
  <c r="K114" i="6"/>
  <c r="K113" i="6"/>
  <c r="K112" i="6"/>
  <c r="K111" i="6"/>
  <c r="K110" i="6"/>
  <c r="K109" i="6"/>
  <c r="I109" i="6" s="1"/>
  <c r="F109" i="6"/>
  <c r="E109" i="6"/>
  <c r="K108" i="6"/>
  <c r="I108" i="6" s="1"/>
  <c r="H108" i="6"/>
  <c r="F108" i="6"/>
  <c r="E108" i="6"/>
  <c r="K107" i="6"/>
  <c r="I107" i="6"/>
  <c r="H107" i="6"/>
  <c r="F107" i="6" s="1"/>
  <c r="E107" i="6"/>
  <c r="I106" i="6"/>
  <c r="H106" i="6"/>
  <c r="F106" i="6" s="1"/>
  <c r="E106" i="6"/>
  <c r="I105" i="6"/>
  <c r="H105" i="6"/>
  <c r="F105" i="6" s="1"/>
  <c r="I104" i="6"/>
  <c r="H104" i="6"/>
  <c r="F104" i="6"/>
  <c r="E104" i="6"/>
  <c r="I103" i="6"/>
  <c r="H103" i="6"/>
  <c r="F103" i="6"/>
  <c r="I102" i="6"/>
  <c r="H102" i="6"/>
  <c r="F102" i="6"/>
  <c r="K101" i="6"/>
  <c r="I101" i="6" s="1"/>
  <c r="H101" i="6"/>
  <c r="F101" i="6"/>
  <c r="K100" i="6"/>
  <c r="I100" i="6" s="1"/>
  <c r="F100" i="6"/>
  <c r="I99" i="6"/>
  <c r="H99" i="6"/>
  <c r="F99" i="6" s="1"/>
  <c r="K98" i="6"/>
  <c r="I98" i="6"/>
  <c r="H98" i="6"/>
  <c r="F98" i="6" s="1"/>
  <c r="K97" i="6"/>
  <c r="I97" i="6"/>
  <c r="H97" i="6"/>
  <c r="F97" i="6" s="1"/>
  <c r="K96" i="6"/>
  <c r="I96" i="6"/>
  <c r="F96" i="6"/>
  <c r="H95" i="6"/>
  <c r="K95" i="6" s="1"/>
  <c r="I95" i="6" s="1"/>
  <c r="F95" i="6"/>
  <c r="H94" i="6"/>
  <c r="K94" i="6" s="1"/>
  <c r="I94" i="6" s="1"/>
  <c r="F94" i="6"/>
  <c r="H93" i="6"/>
  <c r="K93" i="6" s="1"/>
  <c r="I93" i="6" s="1"/>
  <c r="F93" i="6"/>
  <c r="K92" i="6"/>
  <c r="I92" i="6" s="1"/>
  <c r="F92" i="6"/>
  <c r="K91" i="6"/>
  <c r="I91" i="6" s="1"/>
  <c r="H91" i="6"/>
  <c r="F91" i="6"/>
  <c r="K90" i="6"/>
  <c r="I90" i="6" s="1"/>
  <c r="H90" i="6"/>
  <c r="F90" i="6"/>
  <c r="K89" i="6"/>
  <c r="I89" i="6" s="1"/>
  <c r="H89" i="6"/>
  <c r="F89" i="6"/>
  <c r="K88" i="6"/>
  <c r="I88" i="6" s="1"/>
  <c r="H88" i="6"/>
  <c r="F88" i="6"/>
  <c r="K87" i="6"/>
  <c r="I87" i="6" s="1"/>
  <c r="H87" i="6"/>
  <c r="F87" i="6"/>
  <c r="K86" i="6"/>
  <c r="I86" i="6" s="1"/>
  <c r="H86" i="6"/>
  <c r="F86" i="6"/>
  <c r="K85" i="6"/>
  <c r="I85" i="6" s="1"/>
  <c r="H85" i="6"/>
  <c r="F85" i="6"/>
  <c r="K84" i="6"/>
  <c r="I84" i="6" s="1"/>
  <c r="H84" i="6"/>
  <c r="F84" i="6"/>
  <c r="K83" i="6"/>
  <c r="I83" i="6" s="1"/>
  <c r="F83" i="6"/>
  <c r="E83" i="6"/>
  <c r="K82" i="6"/>
  <c r="K81" i="6"/>
  <c r="I81" i="6" s="1"/>
  <c r="H81" i="6"/>
  <c r="F81" i="6"/>
  <c r="E81" i="6"/>
  <c r="K80" i="6"/>
  <c r="I80" i="6"/>
  <c r="F80" i="6"/>
  <c r="K79" i="6"/>
  <c r="H79" i="6"/>
  <c r="K78" i="6"/>
  <c r="I78" i="6"/>
  <c r="H78" i="6"/>
  <c r="F78" i="6" s="1"/>
  <c r="E78" i="6"/>
  <c r="K77" i="6"/>
  <c r="H77" i="6"/>
  <c r="K76" i="6"/>
  <c r="H76" i="6"/>
  <c r="K75" i="6"/>
  <c r="I75" i="6" s="1"/>
  <c r="H75" i="6"/>
  <c r="H157" i="6" s="1"/>
  <c r="F75" i="6"/>
  <c r="F157" i="6" s="1"/>
  <c r="K72" i="6"/>
  <c r="I72" i="6" s="1"/>
  <c r="H72" i="6"/>
  <c r="F72" i="6"/>
  <c r="K71" i="6"/>
  <c r="I71" i="6" s="1"/>
  <c r="H71" i="6"/>
  <c r="F71" i="6"/>
  <c r="K70" i="6"/>
  <c r="I70" i="6" s="1"/>
  <c r="E70" i="6"/>
  <c r="K69" i="6"/>
  <c r="I69" i="6"/>
  <c r="H68" i="6"/>
  <c r="K68" i="6" s="1"/>
  <c r="I68" i="6" s="1"/>
  <c r="F68" i="6"/>
  <c r="K67" i="6"/>
  <c r="I67" i="6" s="1"/>
  <c r="K65" i="6"/>
  <c r="I65" i="6"/>
  <c r="H65" i="6"/>
  <c r="F65" i="6" s="1"/>
  <c r="K64" i="6"/>
  <c r="I64" i="6"/>
  <c r="H64" i="6"/>
  <c r="F64" i="6" s="1"/>
  <c r="E64" i="6"/>
  <c r="K63" i="6"/>
  <c r="I63" i="6" s="1"/>
  <c r="H63" i="6"/>
  <c r="F63" i="6"/>
  <c r="K62" i="6"/>
  <c r="I62" i="6" s="1"/>
  <c r="H62" i="6"/>
  <c r="F62" i="6"/>
  <c r="K61" i="6"/>
  <c r="I61" i="6" s="1"/>
  <c r="H61" i="6"/>
  <c r="F61" i="6"/>
  <c r="E61" i="6"/>
  <c r="H59" i="6"/>
  <c r="F59" i="6" s="1"/>
  <c r="E59" i="6"/>
  <c r="K57" i="6"/>
  <c r="I57" i="6" s="1"/>
  <c r="H57" i="6"/>
  <c r="F57" i="6"/>
  <c r="K56" i="6"/>
  <c r="I56" i="6" s="1"/>
  <c r="F56" i="6"/>
  <c r="K55" i="6"/>
  <c r="I55" i="6"/>
  <c r="H55" i="6"/>
  <c r="F55" i="6" s="1"/>
  <c r="K54" i="6"/>
  <c r="I54" i="6"/>
  <c r="H54" i="6"/>
  <c r="F54" i="6" s="1"/>
  <c r="K53" i="6"/>
  <c r="I53" i="6"/>
  <c r="H53" i="6"/>
  <c r="F53" i="6" s="1"/>
  <c r="K52" i="6"/>
  <c r="I52" i="6"/>
  <c r="H51" i="6"/>
  <c r="K51" i="6" s="1"/>
  <c r="I51" i="6" s="1"/>
  <c r="F51" i="6"/>
  <c r="K50" i="6"/>
  <c r="I50" i="6" s="1"/>
  <c r="F50" i="6"/>
  <c r="K49" i="6"/>
  <c r="I49" i="6" s="1"/>
  <c r="H49" i="6"/>
  <c r="F49" i="6"/>
  <c r="K48" i="6"/>
  <c r="I48" i="6" s="1"/>
  <c r="H48" i="6"/>
  <c r="F48" i="6"/>
  <c r="K47" i="6"/>
  <c r="I47" i="6" s="1"/>
  <c r="H47" i="6"/>
  <c r="F47" i="6"/>
  <c r="H46" i="6"/>
  <c r="F46" i="6" s="1"/>
  <c r="K45" i="6"/>
  <c r="I45" i="6"/>
  <c r="K44" i="6"/>
  <c r="I44" i="6" s="1"/>
  <c r="H44" i="6"/>
  <c r="F44" i="6"/>
  <c r="K43" i="6"/>
  <c r="I43" i="6" s="1"/>
  <c r="F43" i="6"/>
  <c r="K42" i="6"/>
  <c r="I42" i="6"/>
  <c r="H42" i="6"/>
  <c r="F42" i="6" s="1"/>
  <c r="K41" i="6"/>
  <c r="I41" i="6"/>
  <c r="H41" i="6"/>
  <c r="F41" i="6" s="1"/>
  <c r="K40" i="6"/>
  <c r="I40" i="6"/>
  <c r="H40" i="6"/>
  <c r="F40" i="6" s="1"/>
  <c r="K39" i="6"/>
  <c r="I39" i="6"/>
  <c r="H39" i="6"/>
  <c r="F39" i="6" s="1"/>
  <c r="H38" i="6"/>
  <c r="F38" i="6"/>
  <c r="E38" i="6"/>
  <c r="H37" i="6"/>
  <c r="H36" i="6"/>
  <c r="F36" i="6"/>
  <c r="E36" i="6"/>
  <c r="H35" i="6"/>
  <c r="F35" i="6"/>
  <c r="E35" i="6"/>
  <c r="H33" i="6"/>
  <c r="K33" i="6" s="1"/>
  <c r="I33" i="6" s="1"/>
  <c r="F33" i="6"/>
  <c r="K32" i="6"/>
  <c r="I32" i="6" s="1"/>
  <c r="H32" i="6"/>
  <c r="F32" i="6"/>
  <c r="E32" i="6"/>
  <c r="H31" i="6"/>
  <c r="F31" i="6" s="1"/>
  <c r="K30" i="6"/>
  <c r="I30" i="6"/>
  <c r="H30" i="6"/>
  <c r="F30" i="6" s="1"/>
  <c r="I29" i="6"/>
  <c r="H29" i="6"/>
  <c r="F29" i="6"/>
  <c r="I28" i="6"/>
  <c r="H28" i="6"/>
  <c r="F28" i="6"/>
  <c r="K27" i="6"/>
  <c r="I27" i="6" s="1"/>
  <c r="F27" i="6"/>
  <c r="K26" i="6"/>
  <c r="I25" i="6" s="1"/>
  <c r="H26" i="6"/>
  <c r="K25" i="6"/>
  <c r="H25" i="6"/>
  <c r="F25" i="6"/>
  <c r="E25" i="6"/>
  <c r="I24" i="6"/>
  <c r="H24" i="6"/>
  <c r="F24" i="6"/>
  <c r="E24" i="6"/>
  <c r="K22" i="6"/>
  <c r="I22" i="6"/>
  <c r="H22" i="6"/>
  <c r="F22" i="6" s="1"/>
  <c r="H20" i="6"/>
  <c r="F20" i="6" s="1"/>
  <c r="H19" i="6"/>
  <c r="F19" i="6" s="1"/>
  <c r="K18" i="6"/>
  <c r="I18" i="6"/>
  <c r="F18" i="6"/>
  <c r="K17" i="6"/>
  <c r="I17" i="6"/>
  <c r="H17" i="6"/>
  <c r="F17" i="6"/>
  <c r="K16" i="6"/>
  <c r="I16" i="6"/>
  <c r="H16" i="6"/>
  <c r="F16" i="6"/>
  <c r="K15" i="6"/>
  <c r="I15" i="6"/>
  <c r="H15" i="6"/>
  <c r="F15" i="6"/>
  <c r="K14" i="6"/>
  <c r="I14" i="6"/>
  <c r="F14" i="6"/>
  <c r="E14" i="6"/>
  <c r="K13" i="6"/>
  <c r="I13" i="6"/>
  <c r="H13" i="6"/>
  <c r="F13" i="6"/>
  <c r="K12" i="6"/>
  <c r="H12" i="6"/>
  <c r="H73" i="6" s="1"/>
  <c r="I11" i="6"/>
  <c r="F11" i="6"/>
  <c r="K10" i="6"/>
  <c r="F10" i="6"/>
  <c r="I9" i="6"/>
  <c r="F9" i="6"/>
  <c r="E9" i="6"/>
  <c r="K106" i="5"/>
  <c r="I106" i="5"/>
  <c r="H106" i="5"/>
  <c r="F106" i="5"/>
  <c r="I105" i="5"/>
  <c r="F105" i="5"/>
  <c r="K104" i="5"/>
  <c r="I104" i="5"/>
  <c r="E104" i="5"/>
  <c r="I103" i="5"/>
  <c r="F103" i="5"/>
  <c r="K102" i="5"/>
  <c r="I102" i="5" s="1"/>
  <c r="H102" i="5"/>
  <c r="F102" i="5"/>
  <c r="I101" i="5"/>
  <c r="F101" i="5"/>
  <c r="K100" i="5"/>
  <c r="H100" i="5"/>
  <c r="F98" i="5" s="1"/>
  <c r="I98" i="5"/>
  <c r="K97" i="5"/>
  <c r="I97" i="5"/>
  <c r="H97" i="5"/>
  <c r="F97" i="5" s="1"/>
  <c r="I96" i="5"/>
  <c r="F96" i="5"/>
  <c r="K95" i="5"/>
  <c r="I95" i="5" s="1"/>
  <c r="H95" i="5"/>
  <c r="F95" i="5"/>
  <c r="K94" i="5"/>
  <c r="I94" i="5" s="1"/>
  <c r="H94" i="5"/>
  <c r="F94" i="5"/>
  <c r="K93" i="5"/>
  <c r="I93" i="5" s="1"/>
  <c r="F93" i="5"/>
  <c r="F92" i="5"/>
  <c r="K91" i="5"/>
  <c r="I89" i="5" s="1"/>
  <c r="H91" i="5"/>
  <c r="F89" i="5"/>
  <c r="F87" i="5"/>
  <c r="K86" i="5"/>
  <c r="I86" i="5"/>
  <c r="F86" i="5"/>
  <c r="E86" i="5"/>
  <c r="K85" i="5"/>
  <c r="I85" i="5"/>
  <c r="H85" i="5"/>
  <c r="F85" i="5"/>
  <c r="K84" i="5"/>
  <c r="I84" i="5"/>
  <c r="F84" i="5"/>
  <c r="K83" i="5"/>
  <c r="I83" i="5" s="1"/>
  <c r="F83" i="5"/>
  <c r="E83" i="5"/>
  <c r="K81" i="5"/>
  <c r="I81" i="5" s="1"/>
  <c r="H81" i="5"/>
  <c r="F81" i="5"/>
  <c r="H80" i="5"/>
  <c r="H79" i="5"/>
  <c r="K78" i="5"/>
  <c r="I78" i="5"/>
  <c r="F78" i="5"/>
  <c r="E78" i="5"/>
  <c r="I76" i="5"/>
  <c r="H76" i="5"/>
  <c r="F76" i="5"/>
  <c r="I75" i="5"/>
  <c r="F75" i="5"/>
  <c r="I74" i="5"/>
  <c r="F74" i="5"/>
  <c r="K73" i="5"/>
  <c r="I73" i="5"/>
  <c r="H73" i="5"/>
  <c r="F73" i="5"/>
  <c r="K72" i="5"/>
  <c r="I72" i="5"/>
  <c r="H72" i="5"/>
  <c r="F72" i="5"/>
  <c r="K71" i="5"/>
  <c r="I71" i="5"/>
  <c r="H71" i="5"/>
  <c r="F71" i="5"/>
  <c r="I70" i="5"/>
  <c r="F70" i="5"/>
  <c r="K69" i="5"/>
  <c r="I69" i="5"/>
  <c r="H69" i="5"/>
  <c r="F69" i="5"/>
  <c r="K68" i="5"/>
  <c r="I68" i="5"/>
  <c r="H68" i="5"/>
  <c r="F68" i="5"/>
  <c r="K67" i="5"/>
  <c r="I67" i="5"/>
  <c r="F67" i="5"/>
  <c r="K66" i="5"/>
  <c r="I66" i="5"/>
  <c r="H66" i="5"/>
  <c r="F66" i="5" s="1"/>
  <c r="K65" i="5"/>
  <c r="I65" i="5"/>
  <c r="H65" i="5"/>
  <c r="F65" i="5" s="1"/>
  <c r="I64" i="5"/>
  <c r="F64" i="5"/>
  <c r="H63" i="5"/>
  <c r="F61" i="5" s="1"/>
  <c r="K62" i="5"/>
  <c r="I61" i="5"/>
  <c r="K60" i="5"/>
  <c r="I60" i="5" s="1"/>
  <c r="F60" i="5"/>
  <c r="E60" i="5"/>
  <c r="K59" i="5"/>
  <c r="H59" i="5"/>
  <c r="H58" i="5"/>
  <c r="H57" i="5"/>
  <c r="H107" i="5" s="1"/>
  <c r="K56" i="5"/>
  <c r="K107" i="5" s="1"/>
  <c r="H56" i="5"/>
  <c r="F53" i="5"/>
  <c r="K51" i="5"/>
  <c r="H50" i="5"/>
  <c r="F50" i="5" s="1"/>
  <c r="F48" i="5"/>
  <c r="F47" i="5"/>
  <c r="F46" i="5"/>
  <c r="F45" i="5"/>
  <c r="K43" i="5"/>
  <c r="I43" i="5"/>
  <c r="F43" i="5"/>
  <c r="E43" i="5"/>
  <c r="K41" i="5"/>
  <c r="I41" i="5"/>
  <c r="H41" i="5"/>
  <c r="F41" i="5" s="1"/>
  <c r="K40" i="5"/>
  <c r="I40" i="5"/>
  <c r="H40" i="5"/>
  <c r="F40" i="5" s="1"/>
  <c r="K39" i="5"/>
  <c r="I39" i="5"/>
  <c r="H39" i="5"/>
  <c r="F39" i="5" s="1"/>
  <c r="K38" i="5"/>
  <c r="I38" i="5"/>
  <c r="H38" i="5"/>
  <c r="F38" i="5" s="1"/>
  <c r="K37" i="5"/>
  <c r="I37" i="5"/>
  <c r="H37" i="5"/>
  <c r="F37" i="5" s="1"/>
  <c r="K36" i="5"/>
  <c r="I36" i="5"/>
  <c r="H36" i="5"/>
  <c r="F36" i="5" s="1"/>
  <c r="K35" i="5"/>
  <c r="I35" i="5"/>
  <c r="H35" i="5"/>
  <c r="F35" i="5" s="1"/>
  <c r="K34" i="5"/>
  <c r="I34" i="5"/>
  <c r="H34" i="5"/>
  <c r="F34" i="5" s="1"/>
  <c r="K33" i="5"/>
  <c r="I33" i="5"/>
  <c r="H33" i="5"/>
  <c r="F33" i="5" s="1"/>
  <c r="H30" i="5"/>
  <c r="H29" i="5"/>
  <c r="F27" i="5" s="1"/>
  <c r="E27" i="5"/>
  <c r="H26" i="5"/>
  <c r="F24" i="5"/>
  <c r="E24" i="5"/>
  <c r="H23" i="5"/>
  <c r="H22" i="5"/>
  <c r="F20" i="5"/>
  <c r="E20" i="5"/>
  <c r="F18" i="5"/>
  <c r="K16" i="5"/>
  <c r="I16" i="5"/>
  <c r="H16" i="5"/>
  <c r="F16" i="5"/>
  <c r="I15" i="5"/>
  <c r="F15" i="5"/>
  <c r="K14" i="5"/>
  <c r="I14" i="5"/>
  <c r="H14" i="5"/>
  <c r="F14" i="5"/>
  <c r="K13" i="5"/>
  <c r="I13" i="5"/>
  <c r="H13" i="5"/>
  <c r="F13" i="5"/>
  <c r="K12" i="5"/>
  <c r="I12" i="5"/>
  <c r="H12" i="5"/>
  <c r="F12" i="5"/>
  <c r="H11" i="5"/>
  <c r="H10" i="5"/>
  <c r="I9" i="5"/>
  <c r="I51" i="5" s="1"/>
  <c r="H9" i="5"/>
  <c r="F9" i="5" s="1"/>
  <c r="I459" i="4"/>
  <c r="F459" i="4"/>
  <c r="I458" i="4"/>
  <c r="F458" i="4"/>
  <c r="K457" i="4"/>
  <c r="I457" i="4" s="1"/>
  <c r="H457" i="4"/>
  <c r="F457" i="4" s="1"/>
  <c r="I456" i="4"/>
  <c r="F456" i="4"/>
  <c r="H455" i="4"/>
  <c r="K454" i="4"/>
  <c r="H454" i="4"/>
  <c r="I453" i="4"/>
  <c r="H453" i="4"/>
  <c r="E453" i="4"/>
  <c r="I452" i="4"/>
  <c r="F452" i="4"/>
  <c r="F451" i="4"/>
  <c r="H450" i="4"/>
  <c r="K448" i="4"/>
  <c r="I448" i="4" s="1"/>
  <c r="H448" i="4"/>
  <c r="E448" i="4"/>
  <c r="H447" i="4"/>
  <c r="K447" i="4" s="1"/>
  <c r="I447" i="4" s="1"/>
  <c r="K446" i="4"/>
  <c r="I446" i="4"/>
  <c r="H446" i="4"/>
  <c r="F446" i="4" s="1"/>
  <c r="I445" i="4"/>
  <c r="F445" i="4"/>
  <c r="I444" i="4"/>
  <c r="F444" i="4"/>
  <c r="I443" i="4"/>
  <c r="F443" i="4"/>
  <c r="K442" i="4"/>
  <c r="I442" i="4" s="1"/>
  <c r="H442" i="4"/>
  <c r="F442" i="4" s="1"/>
  <c r="K441" i="4"/>
  <c r="I435" i="4" s="1"/>
  <c r="H441" i="4"/>
  <c r="H440" i="4"/>
  <c r="F435" i="4" s="1"/>
  <c r="H434" i="4"/>
  <c r="F434" i="4" s="1"/>
  <c r="H433" i="4"/>
  <c r="K433" i="4" s="1"/>
  <c r="I433" i="4" s="1"/>
  <c r="F433" i="4"/>
  <c r="K432" i="4"/>
  <c r="I432" i="4" s="1"/>
  <c r="F432" i="4"/>
  <c r="K431" i="4"/>
  <c r="I431" i="4" s="1"/>
  <c r="H431" i="4"/>
  <c r="F431" i="4" s="1"/>
  <c r="K430" i="4"/>
  <c r="I430" i="4" s="1"/>
  <c r="H430" i="4"/>
  <c r="F430" i="4"/>
  <c r="K429" i="4"/>
  <c r="K428" i="4"/>
  <c r="K427" i="4"/>
  <c r="K426" i="4"/>
  <c r="K425" i="4"/>
  <c r="H425" i="4"/>
  <c r="F425" i="4"/>
  <c r="E425" i="4"/>
  <c r="K424" i="4"/>
  <c r="I424" i="4" s="1"/>
  <c r="F424" i="4"/>
  <c r="K423" i="4"/>
  <c r="I423" i="4"/>
  <c r="H423" i="4"/>
  <c r="F423" i="4" s="1"/>
  <c r="K422" i="4"/>
  <c r="I422" i="4"/>
  <c r="F422" i="4"/>
  <c r="H421" i="4"/>
  <c r="H420" i="4"/>
  <c r="H419" i="4"/>
  <c r="K418" i="4"/>
  <c r="I418" i="4" s="1"/>
  <c r="H418" i="4"/>
  <c r="F418" i="4" s="1"/>
  <c r="I417" i="4"/>
  <c r="F417" i="4"/>
  <c r="I416" i="4"/>
  <c r="F416" i="4"/>
  <c r="I415" i="4"/>
  <c r="F415" i="4"/>
  <c r="I414" i="4"/>
  <c r="F414" i="4"/>
  <c r="K413" i="4"/>
  <c r="I413" i="4" s="1"/>
  <c r="H413" i="4"/>
  <c r="F413" i="4" s="1"/>
  <c r="I412" i="4"/>
  <c r="H412" i="4"/>
  <c r="F412" i="4" s="1"/>
  <c r="H411" i="4"/>
  <c r="K411" i="4" s="1"/>
  <c r="I411" i="4" s="1"/>
  <c r="F411" i="4"/>
  <c r="K410" i="4"/>
  <c r="I410" i="4" s="1"/>
  <c r="F410" i="4"/>
  <c r="K409" i="4"/>
  <c r="I409" i="4" s="1"/>
  <c r="H409" i="4"/>
  <c r="F409" i="4"/>
  <c r="K408" i="4"/>
  <c r="I408" i="4" s="1"/>
  <c r="H408" i="4"/>
  <c r="F408" i="4"/>
  <c r="K407" i="4"/>
  <c r="I407" i="4" s="1"/>
  <c r="H407" i="4"/>
  <c r="F407" i="4" s="1"/>
  <c r="K406" i="4"/>
  <c r="I406" i="4" s="1"/>
  <c r="H406" i="4"/>
  <c r="F406" i="4" s="1"/>
  <c r="K405" i="4"/>
  <c r="I405" i="4" s="1"/>
  <c r="H405" i="4"/>
  <c r="F405" i="4"/>
  <c r="K404" i="4"/>
  <c r="I404" i="4" s="1"/>
  <c r="F404" i="4"/>
  <c r="I403" i="4"/>
  <c r="F403" i="4"/>
  <c r="I402" i="4"/>
  <c r="F402" i="4"/>
  <c r="I401" i="4"/>
  <c r="F401" i="4"/>
  <c r="I400" i="4"/>
  <c r="H400" i="4"/>
  <c r="F400" i="4"/>
  <c r="I399" i="4"/>
  <c r="H399" i="4"/>
  <c r="F399" i="4" s="1"/>
  <c r="I398" i="4"/>
  <c r="F398" i="4"/>
  <c r="I397" i="4"/>
  <c r="F397" i="4"/>
  <c r="I396" i="4"/>
  <c r="F396" i="4"/>
  <c r="I395" i="4"/>
  <c r="F395" i="4"/>
  <c r="K394" i="4"/>
  <c r="I394" i="4"/>
  <c r="H394" i="4"/>
  <c r="F394" i="4" s="1"/>
  <c r="I393" i="4"/>
  <c r="F393" i="4"/>
  <c r="I392" i="4"/>
  <c r="F392" i="4"/>
  <c r="K391" i="4"/>
  <c r="I391" i="4"/>
  <c r="H390" i="4"/>
  <c r="F390" i="4" s="1"/>
  <c r="H389" i="4"/>
  <c r="F389" i="4"/>
  <c r="E389" i="4"/>
  <c r="H388" i="4"/>
  <c r="F388" i="4" s="1"/>
  <c r="H387" i="4"/>
  <c r="F387" i="4" s="1"/>
  <c r="H386" i="4"/>
  <c r="I385" i="4"/>
  <c r="H385" i="4"/>
  <c r="E385" i="4"/>
  <c r="K384" i="4"/>
  <c r="I384" i="4" s="1"/>
  <c r="H384" i="4"/>
  <c r="F384" i="4"/>
  <c r="K383" i="4"/>
  <c r="I383" i="4" s="1"/>
  <c r="F382" i="4"/>
  <c r="K381" i="4"/>
  <c r="K380" i="4"/>
  <c r="I373" i="4" s="1"/>
  <c r="H380" i="4"/>
  <c r="F373" i="4" s="1"/>
  <c r="H379" i="4"/>
  <c r="K372" i="4"/>
  <c r="I372" i="4" s="1"/>
  <c r="H372" i="4"/>
  <c r="F372" i="4" s="1"/>
  <c r="I371" i="4"/>
  <c r="K370" i="4"/>
  <c r="I370" i="4"/>
  <c r="I369" i="4"/>
  <c r="I368" i="4"/>
  <c r="K367" i="4"/>
  <c r="K366" i="4"/>
  <c r="K365" i="4"/>
  <c r="K364" i="4"/>
  <c r="K363" i="4"/>
  <c r="K362" i="4"/>
  <c r="K361" i="4"/>
  <c r="K360" i="4"/>
  <c r="F360" i="4"/>
  <c r="E360" i="4"/>
  <c r="I333" i="4"/>
  <c r="F333" i="4"/>
  <c r="F332" i="4"/>
  <c r="F331" i="4"/>
  <c r="K330" i="4"/>
  <c r="I330" i="4" s="1"/>
  <c r="H330" i="4"/>
  <c r="F330" i="4"/>
  <c r="E330" i="4"/>
  <c r="K329" i="4"/>
  <c r="I329" i="4" s="1"/>
  <c r="H329" i="4"/>
  <c r="F329" i="4"/>
  <c r="E329" i="4"/>
  <c r="I328" i="4"/>
  <c r="F328" i="4"/>
  <c r="F327" i="4"/>
  <c r="I326" i="4"/>
  <c r="I325" i="4"/>
  <c r="I324" i="4"/>
  <c r="I323" i="4"/>
  <c r="K322" i="4"/>
  <c r="I322" i="4" s="1"/>
  <c r="H322" i="4"/>
  <c r="F322" i="4"/>
  <c r="E322" i="4"/>
  <c r="K321" i="4"/>
  <c r="I321" i="4"/>
  <c r="H321" i="4"/>
  <c r="F321" i="4" s="1"/>
  <c r="K320" i="4"/>
  <c r="I320" i="4" s="1"/>
  <c r="H320" i="4"/>
  <c r="F320" i="4" s="1"/>
  <c r="K319" i="4"/>
  <c r="I319" i="4" s="1"/>
  <c r="H319" i="4"/>
  <c r="F319" i="4" s="1"/>
  <c r="E319" i="4"/>
  <c r="H318" i="4"/>
  <c r="F317" i="4" s="1"/>
  <c r="K317" i="4"/>
  <c r="I317" i="4" s="1"/>
  <c r="H317" i="4"/>
  <c r="H316" i="4"/>
  <c r="H315" i="4"/>
  <c r="F314" i="4" s="1"/>
  <c r="K314" i="4"/>
  <c r="I314" i="4" s="1"/>
  <c r="E314" i="4"/>
  <c r="H313" i="4"/>
  <c r="I312" i="4"/>
  <c r="H312" i="4"/>
  <c r="F312" i="4" s="1"/>
  <c r="F311" i="4"/>
  <c r="I310" i="4"/>
  <c r="F310" i="4"/>
  <c r="I309" i="4"/>
  <c r="F309" i="4"/>
  <c r="K308" i="4"/>
  <c r="I308" i="4" s="1"/>
  <c r="K307" i="4"/>
  <c r="I307" i="4" s="1"/>
  <c r="H307" i="4"/>
  <c r="F307" i="4" s="1"/>
  <c r="K306" i="4"/>
  <c r="I306" i="4" s="1"/>
  <c r="H306" i="4"/>
  <c r="F306" i="4" s="1"/>
  <c r="I305" i="4"/>
  <c r="F305" i="4"/>
  <c r="K304" i="4"/>
  <c r="I304" i="4" s="1"/>
  <c r="I303" i="4"/>
  <c r="H303" i="4"/>
  <c r="F303" i="4" s="1"/>
  <c r="K301" i="4"/>
  <c r="I301" i="4" s="1"/>
  <c r="F301" i="4"/>
  <c r="F300" i="4"/>
  <c r="E300" i="4"/>
  <c r="I299" i="4"/>
  <c r="F299" i="4"/>
  <c r="I298" i="4"/>
  <c r="F298" i="4"/>
  <c r="I297" i="4"/>
  <c r="F297" i="4"/>
  <c r="E297" i="4"/>
  <c r="F296" i="4"/>
  <c r="F295" i="4"/>
  <c r="E295" i="4"/>
  <c r="K294" i="4"/>
  <c r="I294" i="4" s="1"/>
  <c r="H294" i="4"/>
  <c r="F294" i="4"/>
  <c r="K293" i="4"/>
  <c r="I293" i="4" s="1"/>
  <c r="F293" i="4"/>
  <c r="I292" i="4"/>
  <c r="H292" i="4"/>
  <c r="F292" i="4" s="1"/>
  <c r="K291" i="4"/>
  <c r="I291" i="4" s="1"/>
  <c r="H291" i="4"/>
  <c r="F291" i="4"/>
  <c r="K290" i="4"/>
  <c r="I290" i="4" s="1"/>
  <c r="H290" i="4"/>
  <c r="F290" i="4"/>
  <c r="K289" i="4"/>
  <c r="I289" i="4" s="1"/>
  <c r="H289" i="4"/>
  <c r="F289" i="4" s="1"/>
  <c r="K288" i="4"/>
  <c r="I288" i="4" s="1"/>
  <c r="F288" i="4"/>
  <c r="K287" i="4"/>
  <c r="I287" i="4" s="1"/>
  <c r="H287" i="4"/>
  <c r="F287" i="4" s="1"/>
  <c r="H286" i="4"/>
  <c r="F286" i="4" s="1"/>
  <c r="H285" i="4"/>
  <c r="K285" i="4" s="1"/>
  <c r="I285" i="4" s="1"/>
  <c r="F285" i="4"/>
  <c r="K284" i="4"/>
  <c r="I284" i="4" s="1"/>
  <c r="H284" i="4"/>
  <c r="F284" i="4"/>
  <c r="K283" i="4"/>
  <c r="I283" i="4" s="1"/>
  <c r="H283" i="4"/>
  <c r="F283" i="4" s="1"/>
  <c r="I282" i="4"/>
  <c r="F282" i="4"/>
  <c r="I281" i="4"/>
  <c r="F281" i="4"/>
  <c r="I280" i="4"/>
  <c r="F280" i="4"/>
  <c r="I279" i="4"/>
  <c r="F279" i="4"/>
  <c r="I278" i="4"/>
  <c r="H278" i="4"/>
  <c r="F278" i="4" s="1"/>
  <c r="I277" i="4"/>
  <c r="H277" i="4"/>
  <c r="F277" i="4" s="1"/>
  <c r="K276" i="4"/>
  <c r="I276" i="4"/>
  <c r="F276" i="4"/>
  <c r="K275" i="4"/>
  <c r="I275" i="4" s="1"/>
  <c r="F275" i="4"/>
  <c r="K274" i="4"/>
  <c r="I274" i="4" s="1"/>
  <c r="H274" i="4"/>
  <c r="F274" i="4" s="1"/>
  <c r="K273" i="4"/>
  <c r="I273" i="4" s="1"/>
  <c r="H273" i="4"/>
  <c r="F273" i="4" s="1"/>
  <c r="K272" i="4"/>
  <c r="I272" i="4" s="1"/>
  <c r="H272" i="4"/>
  <c r="F272" i="4"/>
  <c r="K271" i="4"/>
  <c r="I271" i="4" s="1"/>
  <c r="H271" i="4"/>
  <c r="F271" i="4"/>
  <c r="K270" i="4"/>
  <c r="I270" i="4" s="1"/>
  <c r="H270" i="4"/>
  <c r="F270" i="4" s="1"/>
  <c r="K269" i="4"/>
  <c r="I269" i="4" s="1"/>
  <c r="F269" i="4"/>
  <c r="I268" i="4"/>
  <c r="F268" i="4"/>
  <c r="I267" i="4"/>
  <c r="F267" i="4"/>
  <c r="I266" i="4"/>
  <c r="F266" i="4"/>
  <c r="I265" i="4"/>
  <c r="H265" i="4"/>
  <c r="F265" i="4" s="1"/>
  <c r="I264" i="4"/>
  <c r="H264" i="4"/>
  <c r="F264" i="4" s="1"/>
  <c r="I263" i="4"/>
  <c r="F263" i="4"/>
  <c r="H262" i="4"/>
  <c r="K262" i="4" s="1"/>
  <c r="I262" i="4" s="1"/>
  <c r="F262" i="4"/>
  <c r="H261" i="4"/>
  <c r="K261" i="4" s="1"/>
  <c r="I261" i="4" s="1"/>
  <c r="H260" i="4"/>
  <c r="K260" i="4" s="1"/>
  <c r="I260" i="4" s="1"/>
  <c r="K259" i="4"/>
  <c r="I259" i="4" s="1"/>
  <c r="H259" i="4"/>
  <c r="F259" i="4" s="1"/>
  <c r="K258" i="4"/>
  <c r="I258" i="4" s="1"/>
  <c r="H258" i="4"/>
  <c r="F258" i="4" s="1"/>
  <c r="I257" i="4"/>
  <c r="F257" i="4"/>
  <c r="I256" i="4"/>
  <c r="F256" i="4"/>
  <c r="I255" i="4"/>
  <c r="F255" i="4"/>
  <c r="I254" i="4"/>
  <c r="F254" i="4"/>
  <c r="I253" i="4"/>
  <c r="F253" i="4"/>
  <c r="K252" i="4"/>
  <c r="K251" i="4"/>
  <c r="I244" i="4" s="1"/>
  <c r="H251" i="4"/>
  <c r="F244" i="4" s="1"/>
  <c r="H250" i="4"/>
  <c r="K243" i="4"/>
  <c r="I243" i="4" s="1"/>
  <c r="H243" i="4"/>
  <c r="F243" i="4" s="1"/>
  <c r="K242" i="4"/>
  <c r="I242" i="4"/>
  <c r="F242" i="4"/>
  <c r="E242" i="4"/>
  <c r="K241" i="4"/>
  <c r="K240" i="4"/>
  <c r="I240" i="4" s="1"/>
  <c r="H240" i="4"/>
  <c r="F240" i="4" s="1"/>
  <c r="E240" i="4"/>
  <c r="K239" i="4"/>
  <c r="I239" i="4" s="1"/>
  <c r="F239" i="4"/>
  <c r="K238" i="4"/>
  <c r="K237" i="4"/>
  <c r="I236" i="4" s="1"/>
  <c r="H237" i="4"/>
  <c r="K236" i="4"/>
  <c r="H236" i="4"/>
  <c r="E236" i="4"/>
  <c r="K235" i="4"/>
  <c r="H235" i="4"/>
  <c r="K234" i="4"/>
  <c r="H234" i="4"/>
  <c r="K233" i="4"/>
  <c r="H233" i="4"/>
  <c r="K232" i="4"/>
  <c r="H232" i="4"/>
  <c r="H231" i="4"/>
  <c r="H230" i="4"/>
  <c r="K229" i="4"/>
  <c r="I213" i="4" s="1"/>
  <c r="H229" i="4"/>
  <c r="F213" i="4" s="1"/>
  <c r="I212" i="4"/>
  <c r="I211" i="4"/>
  <c r="F210" i="4"/>
  <c r="H207" i="4"/>
  <c r="K207" i="4" s="1"/>
  <c r="I207" i="4" s="1"/>
  <c r="F207" i="4"/>
  <c r="H206" i="4"/>
  <c r="K206" i="4" s="1"/>
  <c r="I206" i="4" s="1"/>
  <c r="F206" i="4"/>
  <c r="K205" i="4"/>
  <c r="I205" i="4" s="1"/>
  <c r="F205" i="4"/>
  <c r="E205" i="4"/>
  <c r="K204" i="4"/>
  <c r="I204" i="4" s="1"/>
  <c r="F204" i="4"/>
  <c r="H203" i="4"/>
  <c r="K202" i="4"/>
  <c r="I202" i="4" s="1"/>
  <c r="F202" i="4"/>
  <c r="H201" i="4"/>
  <c r="F201" i="4" s="1"/>
  <c r="F200" i="4"/>
  <c r="E200" i="4"/>
  <c r="K198" i="4"/>
  <c r="I198" i="4" s="1"/>
  <c r="H198" i="4"/>
  <c r="F198" i="4" s="1"/>
  <c r="K197" i="4"/>
  <c r="I197" i="4" s="1"/>
  <c r="H197" i="4"/>
  <c r="F197" i="4"/>
  <c r="E197" i="4"/>
  <c r="K196" i="4"/>
  <c r="I196" i="4"/>
  <c r="H196" i="4"/>
  <c r="F196" i="4" s="1"/>
  <c r="K195" i="4"/>
  <c r="I195" i="4" s="1"/>
  <c r="H195" i="4"/>
  <c r="F195" i="4" s="1"/>
  <c r="K194" i="4"/>
  <c r="I194" i="4" s="1"/>
  <c r="H194" i="4"/>
  <c r="F194" i="4" s="1"/>
  <c r="E194" i="4"/>
  <c r="I193" i="4"/>
  <c r="F193" i="4"/>
  <c r="I192" i="4"/>
  <c r="F192" i="4"/>
  <c r="I191" i="4"/>
  <c r="F191" i="4"/>
  <c r="I190" i="4"/>
  <c r="F190" i="4"/>
  <c r="I189" i="4"/>
  <c r="F189" i="4"/>
  <c r="I188" i="4"/>
  <c r="F188" i="4"/>
  <c r="I187" i="4"/>
  <c r="F187" i="4"/>
  <c r="I186" i="4"/>
  <c r="F186" i="4"/>
  <c r="K185" i="4"/>
  <c r="I185" i="4" s="1"/>
  <c r="I184" i="4"/>
  <c r="H184" i="4"/>
  <c r="F184" i="4"/>
  <c r="K183" i="4"/>
  <c r="I181" i="4" s="1"/>
  <c r="F181" i="4"/>
  <c r="I180" i="4"/>
  <c r="H180" i="4"/>
  <c r="F180" i="4" s="1"/>
  <c r="I179" i="4"/>
  <c r="F178" i="4"/>
  <c r="I177" i="4"/>
  <c r="F177" i="4"/>
  <c r="K176" i="4"/>
  <c r="I176" i="4" s="1"/>
  <c r="K175" i="4"/>
  <c r="I175" i="4" s="1"/>
  <c r="H175" i="4"/>
  <c r="F175" i="4" s="1"/>
  <c r="I171" i="4"/>
  <c r="F171" i="4"/>
  <c r="I170" i="4"/>
  <c r="F170" i="4"/>
  <c r="I168" i="4"/>
  <c r="F168" i="4"/>
  <c r="I167" i="4"/>
  <c r="F167" i="4"/>
  <c r="F166" i="4"/>
  <c r="F165" i="4"/>
  <c r="I164" i="4"/>
  <c r="I163" i="4"/>
  <c r="I162" i="4"/>
  <c r="F162" i="4"/>
  <c r="I156" i="4"/>
  <c r="F156" i="4"/>
  <c r="F155" i="4"/>
  <c r="F153" i="4"/>
  <c r="F152" i="4"/>
  <c r="F150" i="4"/>
  <c r="K148" i="4"/>
  <c r="I148" i="4" s="1"/>
  <c r="H148" i="4"/>
  <c r="F148" i="4"/>
  <c r="E148" i="4"/>
  <c r="H146" i="4"/>
  <c r="K146" i="4" s="1"/>
  <c r="I146" i="4" s="1"/>
  <c r="K145" i="4"/>
  <c r="I145" i="4" s="1"/>
  <c r="F145" i="4"/>
  <c r="K144" i="4"/>
  <c r="I144" i="4" s="1"/>
  <c r="H144" i="4"/>
  <c r="F144" i="4"/>
  <c r="K143" i="4"/>
  <c r="I143" i="4" s="1"/>
  <c r="H143" i="4"/>
  <c r="F143" i="4" s="1"/>
  <c r="K142" i="4"/>
  <c r="I142" i="4" s="1"/>
  <c r="H142" i="4"/>
  <c r="F142" i="4" s="1"/>
  <c r="K141" i="4"/>
  <c r="I141" i="4" s="1"/>
  <c r="H141" i="4"/>
  <c r="F141" i="4"/>
  <c r="K140" i="4"/>
  <c r="I140" i="4" s="1"/>
  <c r="H140" i="4"/>
  <c r="F140" i="4"/>
  <c r="K139" i="4"/>
  <c r="I139" i="4" s="1"/>
  <c r="H139" i="4"/>
  <c r="F139" i="4" s="1"/>
  <c r="F138" i="4"/>
  <c r="I137" i="4"/>
  <c r="F137" i="4"/>
  <c r="I136" i="4"/>
  <c r="F136" i="4"/>
  <c r="K135" i="4"/>
  <c r="I135" i="4" s="1"/>
  <c r="K134" i="4"/>
  <c r="I134" i="4" s="1"/>
  <c r="H134" i="4"/>
  <c r="F134" i="4" s="1"/>
  <c r="K133" i="4"/>
  <c r="I133" i="4"/>
  <c r="F133" i="4"/>
  <c r="K132" i="4"/>
  <c r="I132" i="4"/>
  <c r="H132" i="4"/>
  <c r="F132" i="4" s="1"/>
  <c r="K131" i="4"/>
  <c r="I131" i="4" s="1"/>
  <c r="H131" i="4"/>
  <c r="F131" i="4" s="1"/>
  <c r="K130" i="4"/>
  <c r="I130" i="4" s="1"/>
  <c r="H130" i="4"/>
  <c r="F130" i="4" s="1"/>
  <c r="K129" i="4"/>
  <c r="I129" i="4"/>
  <c r="H129" i="4"/>
  <c r="F129" i="4" s="1"/>
  <c r="K128" i="4"/>
  <c r="I128" i="4"/>
  <c r="H128" i="4"/>
  <c r="F128" i="4" s="1"/>
  <c r="K127" i="4"/>
  <c r="I127" i="4" s="1"/>
  <c r="H127" i="4"/>
  <c r="F127" i="4" s="1"/>
  <c r="F126" i="4"/>
  <c r="I125" i="4"/>
  <c r="F125" i="4"/>
  <c r="I124" i="4"/>
  <c r="F124" i="4"/>
  <c r="H123" i="4"/>
  <c r="F123" i="4" s="1"/>
  <c r="K122" i="4"/>
  <c r="I122" i="4" s="1"/>
  <c r="K121" i="4"/>
  <c r="I121" i="4" s="1"/>
  <c r="H121" i="4"/>
  <c r="F121" i="4" s="1"/>
  <c r="K120" i="4"/>
  <c r="I120" i="4"/>
  <c r="F120" i="4"/>
  <c r="K119" i="4"/>
  <c r="I119" i="4" s="1"/>
  <c r="H119" i="4"/>
  <c r="F119" i="4" s="1"/>
  <c r="K118" i="4"/>
  <c r="I118" i="4" s="1"/>
  <c r="H118" i="4"/>
  <c r="F118" i="4" s="1"/>
  <c r="K117" i="4"/>
  <c r="I117" i="4"/>
  <c r="H117" i="4"/>
  <c r="F117" i="4" s="1"/>
  <c r="K116" i="4"/>
  <c r="I116" i="4"/>
  <c r="H116" i="4"/>
  <c r="F116" i="4" s="1"/>
  <c r="K115" i="4"/>
  <c r="I115" i="4" s="1"/>
  <c r="H115" i="4"/>
  <c r="F115" i="4" s="1"/>
  <c r="K114" i="4"/>
  <c r="I114" i="4" s="1"/>
  <c r="H114" i="4"/>
  <c r="F114" i="4" s="1"/>
  <c r="F113" i="4"/>
  <c r="I112" i="4"/>
  <c r="F112" i="4"/>
  <c r="I111" i="4"/>
  <c r="F111" i="4"/>
  <c r="K110" i="4"/>
  <c r="I110" i="4" s="1"/>
  <c r="H110" i="4"/>
  <c r="F110" i="4" s="1"/>
  <c r="H105" i="4"/>
  <c r="H104" i="4"/>
  <c r="F102" i="4" s="1"/>
  <c r="H103" i="4"/>
  <c r="H102" i="4"/>
  <c r="H101" i="4"/>
  <c r="F92" i="4" s="1"/>
  <c r="H100" i="4"/>
  <c r="H99" i="4"/>
  <c r="E92" i="4"/>
  <c r="F91" i="4"/>
  <c r="F90" i="4"/>
  <c r="H89" i="4"/>
  <c r="H88" i="4"/>
  <c r="H87" i="4"/>
  <c r="E79" i="4"/>
  <c r="H78" i="4"/>
  <c r="H77" i="4"/>
  <c r="H76" i="4"/>
  <c r="E69" i="4"/>
  <c r="H67" i="4"/>
  <c r="K67" i="4" s="1"/>
  <c r="I67" i="4" s="1"/>
  <c r="F67" i="4"/>
  <c r="K66" i="4"/>
  <c r="I66" i="4" s="1"/>
  <c r="H66" i="4"/>
  <c r="F66" i="4" s="1"/>
  <c r="E66" i="4"/>
  <c r="H65" i="4"/>
  <c r="K64" i="4"/>
  <c r="I64" i="4" s="1"/>
  <c r="H64" i="4"/>
  <c r="F64" i="4" s="1"/>
  <c r="I63" i="4"/>
  <c r="F63" i="4"/>
  <c r="I62" i="4"/>
  <c r="H62" i="4"/>
  <c r="F62" i="4" s="1"/>
  <c r="I61" i="4"/>
  <c r="H61" i="4"/>
  <c r="F61" i="4" s="1"/>
  <c r="K60" i="4"/>
  <c r="I60" i="4"/>
  <c r="F60" i="4"/>
  <c r="I59" i="4"/>
  <c r="F59" i="4"/>
  <c r="K58" i="4"/>
  <c r="I57" i="4" s="1"/>
  <c r="H58" i="4"/>
  <c r="F57" i="4" s="1"/>
  <c r="K57" i="4"/>
  <c r="H57" i="4"/>
  <c r="E57" i="4"/>
  <c r="F56" i="4"/>
  <c r="F55" i="4"/>
  <c r="F54" i="4"/>
  <c r="F53" i="4"/>
  <c r="H52" i="4"/>
  <c r="F52" i="4" s="1"/>
  <c r="E52" i="4"/>
  <c r="F51" i="4"/>
  <c r="K49" i="4"/>
  <c r="I49" i="4" s="1"/>
  <c r="I48" i="4"/>
  <c r="I47" i="4"/>
  <c r="F47" i="4"/>
  <c r="F46" i="4"/>
  <c r="I45" i="4"/>
  <c r="F43" i="4"/>
  <c r="K41" i="4"/>
  <c r="I41" i="4" s="1"/>
  <c r="H41" i="4"/>
  <c r="F41" i="4"/>
  <c r="K40" i="4"/>
  <c r="I40" i="4" s="1"/>
  <c r="H40" i="4"/>
  <c r="F40" i="4" s="1"/>
  <c r="K39" i="4"/>
  <c r="I39" i="4" s="1"/>
  <c r="H39" i="4"/>
  <c r="F39" i="4" s="1"/>
  <c r="I38" i="4"/>
  <c r="F38" i="4"/>
  <c r="I37" i="4"/>
  <c r="F37" i="4"/>
  <c r="I36" i="4"/>
  <c r="F36" i="4"/>
  <c r="K35" i="4"/>
  <c r="I35" i="4" s="1"/>
  <c r="F35" i="4"/>
  <c r="K34" i="4"/>
  <c r="I34" i="4"/>
  <c r="H34" i="4"/>
  <c r="F34" i="4" s="1"/>
  <c r="K33" i="4"/>
  <c r="I33" i="4" s="1"/>
  <c r="H33" i="4"/>
  <c r="F33" i="4" s="1"/>
  <c r="K32" i="4"/>
  <c r="I32" i="4"/>
  <c r="H32" i="4"/>
  <c r="F32" i="4" s="1"/>
  <c r="K31" i="4"/>
  <c r="I31" i="4"/>
  <c r="H31" i="4"/>
  <c r="F31" i="4" s="1"/>
  <c r="K30" i="4"/>
  <c r="I30" i="4"/>
  <c r="H30" i="4"/>
  <c r="F30" i="4" s="1"/>
  <c r="K29" i="4"/>
  <c r="I29" i="4"/>
  <c r="H29" i="4"/>
  <c r="F29" i="4" s="1"/>
  <c r="I28" i="4"/>
  <c r="F28" i="4"/>
  <c r="I27" i="4"/>
  <c r="F27" i="4"/>
  <c r="I26" i="4"/>
  <c r="F26" i="4"/>
  <c r="I25" i="4"/>
  <c r="H25" i="4"/>
  <c r="F25" i="4" s="1"/>
  <c r="I24" i="4"/>
  <c r="F24" i="4"/>
  <c r="I23" i="4"/>
  <c r="F23" i="4"/>
  <c r="K22" i="4"/>
  <c r="I22" i="4"/>
  <c r="F22" i="4"/>
  <c r="E22" i="4"/>
  <c r="K21" i="4"/>
  <c r="I21" i="4"/>
  <c r="H21" i="4"/>
  <c r="F21" i="4" s="1"/>
  <c r="K20" i="4"/>
  <c r="I14" i="4" s="1"/>
  <c r="H19" i="4"/>
  <c r="H18" i="4"/>
  <c r="H17" i="4"/>
  <c r="F14" i="4" s="1"/>
  <c r="H16" i="4"/>
  <c r="K12" i="4"/>
  <c r="I9" i="4" s="1"/>
  <c r="F9" i="4"/>
  <c r="E9" i="4"/>
  <c r="K434" i="4" l="1"/>
  <c r="I434" i="4" s="1"/>
  <c r="H49" i="4"/>
  <c r="F49" i="4" s="1"/>
  <c r="F260" i="4"/>
  <c r="I360" i="4"/>
  <c r="F385" i="4"/>
  <c r="F448" i="4"/>
  <c r="F69" i="4"/>
  <c r="K286" i="4"/>
  <c r="I286" i="4" s="1"/>
  <c r="F236" i="4"/>
  <c r="I425" i="4"/>
  <c r="F73" i="6"/>
  <c r="F158" i="6" s="1"/>
  <c r="H158" i="6"/>
  <c r="K19" i="6"/>
  <c r="K20" i="6"/>
  <c r="I20" i="6" s="1"/>
  <c r="K31" i="6"/>
  <c r="I31" i="6" s="1"/>
  <c r="K146" i="6"/>
  <c r="I146" i="6" s="1"/>
  <c r="I157" i="6" s="1"/>
  <c r="K147" i="6"/>
  <c r="I147" i="6" s="1"/>
  <c r="K108" i="5"/>
  <c r="F107" i="5"/>
  <c r="I53" i="5"/>
  <c r="I107" i="5" s="1"/>
  <c r="I108" i="5" s="1"/>
  <c r="F31" i="5"/>
  <c r="F51" i="5" s="1"/>
  <c r="F108" i="5" s="1"/>
  <c r="H51" i="5"/>
  <c r="H108" i="5" s="1"/>
  <c r="H460" i="4"/>
  <c r="F203" i="4"/>
  <c r="K203" i="4"/>
  <c r="I203" i="4" s="1"/>
  <c r="F453" i="4"/>
  <c r="F65" i="4"/>
  <c r="F208" i="4" s="1"/>
  <c r="K65" i="4"/>
  <c r="I65" i="4" s="1"/>
  <c r="F419" i="4"/>
  <c r="K419" i="4"/>
  <c r="I419" i="4" s="1"/>
  <c r="F421" i="4"/>
  <c r="K421" i="4"/>
  <c r="I421" i="4" s="1"/>
  <c r="H208" i="4"/>
  <c r="F79" i="4"/>
  <c r="F146" i="4"/>
  <c r="F261" i="4"/>
  <c r="F420" i="4"/>
  <c r="K420" i="4"/>
  <c r="I420" i="4" s="1"/>
  <c r="F447" i="4"/>
  <c r="I460" i="4" l="1"/>
  <c r="H461" i="4"/>
  <c r="F460" i="4"/>
  <c r="K208" i="4"/>
  <c r="I208" i="4"/>
  <c r="I461" i="4" s="1"/>
  <c r="K157" i="6"/>
  <c r="K73" i="6"/>
  <c r="I19" i="6"/>
  <c r="I73" i="6" s="1"/>
  <c r="I158" i="6" s="1"/>
  <c r="F461" i="4"/>
  <c r="K460" i="4"/>
  <c r="K461" i="4" l="1"/>
  <c r="K158" i="6"/>
</calcChain>
</file>

<file path=xl/comments1.xml><?xml version="1.0" encoding="utf-8"?>
<comments xmlns="http://schemas.openxmlformats.org/spreadsheetml/2006/main">
  <authors>
    <author>Автор</author>
  </authors>
  <commentList>
    <comment ref="E171" authorId="0">
      <text>
        <r>
          <rPr>
            <b/>
            <sz val="9"/>
            <color indexed="81"/>
            <rFont val="Tahoma"/>
            <family val="2"/>
            <charset val="204"/>
          </rPr>
          <t>Часть суммы договора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306" authorId="0">
      <text>
        <r>
          <rPr>
            <b/>
            <sz val="9"/>
            <color indexed="81"/>
            <rFont val="Tahoma"/>
            <family val="2"/>
            <charset val="204"/>
          </rPr>
          <t>Часть суммы договора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<sst xmlns="http://schemas.openxmlformats.org/spreadsheetml/2006/main" count="2806" uniqueCount="548">
  <si>
    <t>ОТЧЕТ</t>
  </si>
  <si>
    <t>о ходе исполнения инвестиционной программы «Реконструкция (модернизация) систем водоснабжения и водоотведения на территории  городского округа город Воронеж на 2012 – 2016 годы (в рамках реализации Концессионного соглашения от 23.03.2012 г)» ООО "РВК-Воронеж"</t>
  </si>
  <si>
    <t>январь-декабрь 2015 г.</t>
  </si>
  <si>
    <t>Наименование целевого показателя и мероприятий</t>
  </si>
  <si>
    <t>Подрядчик</t>
  </si>
  <si>
    <t>Стоимость мероприятий по договору, тыс. руб., (с НДС)</t>
  </si>
  <si>
    <t>Фактическое финансирование тыс. руб., (с НДС)</t>
  </si>
  <si>
    <t>Платежное поручение</t>
  </si>
  <si>
    <t>Фактическое выполнение, тыс. руб., (с НДС)</t>
  </si>
  <si>
    <t>Обоснование</t>
  </si>
  <si>
    <t>Наименование</t>
  </si>
  <si>
    <t>№ и дата договора</t>
  </si>
  <si>
    <t>№, дата</t>
  </si>
  <si>
    <t>сумма, тыс. руб.</t>
  </si>
  <si>
    <t>ВОДОСНАБЖЕНИЕ</t>
  </si>
  <si>
    <t>Строительство ВПС-21 (Геологоразведочные работы, ПИР) (Модернизация ВПС-21)</t>
  </si>
  <si>
    <t>ООО ВПФ "ПССВ"</t>
  </si>
  <si>
    <t>477/14 от 24.07.14</t>
  </si>
  <si>
    <t>№972 от 13.03.15</t>
  </si>
  <si>
    <t>КС-2, КС-3 №1 от 25.02.2015</t>
  </si>
  <si>
    <t>№1614 от 13.04.15</t>
  </si>
  <si>
    <t>№1642 от 14.04.15</t>
  </si>
  <si>
    <t>КС-2, КС-3 №2 от 19.03.2015</t>
  </si>
  <si>
    <t>№1651 от 15.04.15</t>
  </si>
  <si>
    <t>КС-2, КС-3 №3 от 24.12.2015</t>
  </si>
  <si>
    <t>№1919 от 30.04.15</t>
  </si>
  <si>
    <t>__</t>
  </si>
  <si>
    <t>ООО "РВК-консалтинг"</t>
  </si>
  <si>
    <t>488/14 от 04.06.14</t>
  </si>
  <si>
    <t xml:space="preserve"> 2428,636 в месяц</t>
  </si>
  <si>
    <t>№2205 от 20.05.15 (часть)</t>
  </si>
  <si>
    <t>Акт №3 от 15.04.2015 (часть)</t>
  </si>
  <si>
    <t>№2208 от 20.05.15 (часть)</t>
  </si>
  <si>
    <t>Акт №4 от 30.04.2015 (часть)</t>
  </si>
  <si>
    <t xml:space="preserve">№3752 от  23.07.2015 </t>
  </si>
  <si>
    <t>Акт №5 от 30.06.2015 (часть)</t>
  </si>
  <si>
    <t>№3756 от 23.07.2015</t>
  </si>
  <si>
    <t>Акт №6 от 30.06.2015 (часть)</t>
  </si>
  <si>
    <t>№4549 от 20.08.15</t>
  </si>
  <si>
    <t>Акт №7 от 31.07.2015 (часть)</t>
  </si>
  <si>
    <t xml:space="preserve">№7014 от 27.11.15 </t>
  </si>
  <si>
    <t>Акт №8 от 31.08.2015 (часть)</t>
  </si>
  <si>
    <t>Акт №9 (часть)</t>
  </si>
  <si>
    <t>УК "РосВодоканал"</t>
  </si>
  <si>
    <t>138/14 от 12.03.14</t>
  </si>
  <si>
    <t>№7231 от 30.11.15 (часть)</t>
  </si>
  <si>
    <t>Отчет агента за октябрь (часть)</t>
  </si>
  <si>
    <t>ООО "ЭНЕРГОСТРОЙ"</t>
  </si>
  <si>
    <t>451/15 от 09.10.15</t>
  </si>
  <si>
    <t>КС-2, КС-3 №1 от 24.12.2015</t>
  </si>
  <si>
    <t>Оплата труда, страховые взносы (январь)</t>
  </si>
  <si>
    <t>Оплата труда, страховые взносы (февраль)</t>
  </si>
  <si>
    <t>Оплата труда, страховые взносы (март)</t>
  </si>
  <si>
    <t>Оплата труда, страховые взносы (апрель)</t>
  </si>
  <si>
    <t>Оплата труда, страховые взносы (май)</t>
  </si>
  <si>
    <t>Оплата труда, страховые взносы (июнь)</t>
  </si>
  <si>
    <t>Оплата труда, страховые взносы; резервы по страх. взносам на отпуска (июль)</t>
  </si>
  <si>
    <t>Оплата труда, страховые взносы; резервы по страх. взносам на отпуска (август)</t>
  </si>
  <si>
    <t>Оплата труда, страховые взносы; резервы по страх. взносам на отпуска (сентябрь)</t>
  </si>
  <si>
    <t>Оплата труда, страховые взносы; резервы по страх. взносам на отпуска (октябрь)</t>
  </si>
  <si>
    <t>Оплата труда, страховые взносы; резервы по страх. взносам на отпуска (ноябрь)</t>
  </si>
  <si>
    <t>Оплата труда, страховые взносы (декабрь)</t>
  </si>
  <si>
    <t xml:space="preserve">Сторно резервы по страх. взносам на отпуска (декабрь) </t>
  </si>
  <si>
    <t xml:space="preserve"> Общехозяйственные расходы (апрель)</t>
  </si>
  <si>
    <t xml:space="preserve"> Общехозяйственные расходы (июнь)</t>
  </si>
  <si>
    <t xml:space="preserve"> Общехозяйственные расходы (июль)</t>
  </si>
  <si>
    <t xml:space="preserve"> Общехозяйственные расходы (август)</t>
  </si>
  <si>
    <t xml:space="preserve"> Общехозяйственные расходы (октябрь)</t>
  </si>
  <si>
    <t xml:space="preserve"> Общехозяйственные расходы (декабрь)</t>
  </si>
  <si>
    <t>Реконструкция ПНС-117 (инв. №10000609) с заменой  оборудования (Насосная установка Hydro MPC - E 4CRE45 -2+Opc ) (Реконструкция ПНС-117)</t>
  </si>
  <si>
    <t>Сторно (материалы)</t>
  </si>
  <si>
    <t>Создание системы телеметрии ПНС и контрольных точек. Внедрение 20 контрольных точек</t>
  </si>
  <si>
    <t>ООО "СаНи"</t>
  </si>
  <si>
    <t>713/14 от 21.11.14</t>
  </si>
  <si>
    <t>ТОРГ-12 №463 от 06.03.15</t>
  </si>
  <si>
    <t>Автоматизация ПНС (монтаж шкафов автоматизации)</t>
  </si>
  <si>
    <t>783/14 от 12.12.14</t>
  </si>
  <si>
    <t>№810 от 03.03.15</t>
  </si>
  <si>
    <t>ТОРГ-12 №156 от 02.02.15</t>
  </si>
  <si>
    <t>Акт №70 от 28.02.15 (часть)</t>
  </si>
  <si>
    <t>Установка вантузов и регуляторов давления. ПИР и СМР. Модернизация водопроводной сети путем установки вантузов. (Установка вантузов и регуляторов давления)</t>
  </si>
  <si>
    <t>ООО "ПОЛИПЛАСТИК Поволжье"</t>
  </si>
  <si>
    <t>381/15 от 03.09.15</t>
  </si>
  <si>
    <t xml:space="preserve">7024 от 27.11.15 </t>
  </si>
  <si>
    <t>Модернизация оборудования машинных залов II, III подъёмов и перекачивающих станций  путем установки полнопроходных обратных клапанов.</t>
  </si>
  <si>
    <t>ООО "Арматура ГмбХ"</t>
  </si>
  <si>
    <t>543/14 от 09.09.14</t>
  </si>
  <si>
    <t>№585 от 17.02.15</t>
  </si>
  <si>
    <t>Оплата труда, страховые взносы</t>
  </si>
  <si>
    <t>Дооборудование видеокамерами систем видеонаблюдения ВПС-4/3 (инв. №УКР009175), ВПС-4/оч. (инв №УКР009179), ВПС-6(инв. №УКР009332), ВПС-8 (инв. №47001347), ВПС-11/2 (инв. №УКР009357)</t>
  </si>
  <si>
    <t>ООО "Телеком-Сервис"</t>
  </si>
  <si>
    <t>785/14 от 15.12.14</t>
  </si>
  <si>
    <t>№280 от 27.01.15</t>
  </si>
  <si>
    <t>Создание систем видеонаблюдения на ВПС-9, ВПС-11/3, ВПС-12</t>
  </si>
  <si>
    <t>789/14 от 16.12.14</t>
  </si>
  <si>
    <t>№279 от 27.01.15</t>
  </si>
  <si>
    <t xml:space="preserve">Создание системы охраны периметра ВПС-4/3 и ВПС-11/3 </t>
  </si>
  <si>
    <t>ООО "Телеком-сервис"</t>
  </si>
  <si>
    <t xml:space="preserve">405/15 от 21.09.15 </t>
  </si>
  <si>
    <t>№7013 от 27.11.15 (часть)</t>
  </si>
  <si>
    <t>КС-2, КС-3 №10/1 от 21.10.2015</t>
  </si>
  <si>
    <t>КС-2, КС-3 №10/2 от 21.10.2015</t>
  </si>
  <si>
    <t>№4598 от 24.08.15 (часть)</t>
  </si>
  <si>
    <t>Отчет агента за июнь</t>
  </si>
  <si>
    <t>Отчет агента за октябрь</t>
  </si>
  <si>
    <t>ООО "Бликфанг"</t>
  </si>
  <si>
    <t>№7025 от 27.11.15</t>
  </si>
  <si>
    <t xml:space="preserve"> Общехозяйственные расходы (ноябрь)</t>
  </si>
  <si>
    <t>Создание локальной системы оповещения (ВПС №12)</t>
  </si>
  <si>
    <t>ООО "Многоцелевая подвижная связь"</t>
  </si>
  <si>
    <t xml:space="preserve">414/15 от 28.09.15 </t>
  </si>
  <si>
    <t xml:space="preserve">№7005 от 27.11.15 </t>
  </si>
  <si>
    <t>Акт от 01.10.2015</t>
  </si>
  <si>
    <t>Реконструкция ВПС-4/3. Комплекс работ по техническому перевооружению оборудования машинных залов. (инв. №10000062) (Реконструкция   ВПС-4)</t>
  </si>
  <si>
    <t>ОАО "Научно-технический центр Федеральной сетевой энергетической системы" (ОАО "НТЦ ФСК ЕЭС")</t>
  </si>
  <si>
    <t>561/13 от 14.08.13</t>
  </si>
  <si>
    <t>№625 от 19.02.15</t>
  </si>
  <si>
    <t>№805 от 03.03.15</t>
  </si>
  <si>
    <t>№1285 от 27.03.15</t>
  </si>
  <si>
    <t>№1914 от 30.04.15</t>
  </si>
  <si>
    <t>№2343 от 27.05.15</t>
  </si>
  <si>
    <t>№3392 от 06.07.2015</t>
  </si>
  <si>
    <t>№3720 от 23.07.15</t>
  </si>
  <si>
    <t>№4553 от 20.08.15</t>
  </si>
  <si>
    <t>№5355 от 25.09.15</t>
  </si>
  <si>
    <t xml:space="preserve">№7011 от 27.11.15 </t>
  </si>
  <si>
    <t>Реконструкция ВПС-8/2.  Комплекс работ по техническому перевооружению оборудования машинных залов. Реконструкция и техническое перевооружение РУ-6 кВ  (инв. №10000095) (Реконструкция   ВПС-8)</t>
  </si>
  <si>
    <t>№559/13 от 14.08.13</t>
  </si>
  <si>
    <t>№238 от 26.01.15</t>
  </si>
  <si>
    <t>№586 от 17.02.15</t>
  </si>
  <si>
    <t>№803 от 03.03.15</t>
  </si>
  <si>
    <t>№1284 от 31.03.15</t>
  </si>
  <si>
    <t>№1915 от 30.04.15</t>
  </si>
  <si>
    <t>№2344 от 27.05.15</t>
  </si>
  <si>
    <t>№3393 от 06.07.15</t>
  </si>
  <si>
    <t>№3721 от 23.07.15</t>
  </si>
  <si>
    <t>№4554 от 20.08.15</t>
  </si>
  <si>
    <t xml:space="preserve">№7010 от 27.11.15 </t>
  </si>
  <si>
    <t xml:space="preserve">№7018 от 27.11.15 </t>
  </si>
  <si>
    <t>ООО ПФК "Электрощит"</t>
  </si>
  <si>
    <t>175/14 от 07.04.14</t>
  </si>
  <si>
    <t>№240 от 26.01.15</t>
  </si>
  <si>
    <t>1351,821 в месяц</t>
  </si>
  <si>
    <t>№582 от 16.02.15 (часть)</t>
  </si>
  <si>
    <t>Реконструкция ВПС-11/3. Комплекс работ по техническому перевооружению оборудования машинных залов. (инв. №10000225) (Реконструкция ВПС-11)</t>
  </si>
  <si>
    <t>560/13 от 14.08.13</t>
  </si>
  <si>
    <t>№239 от 26.01.15</t>
  </si>
  <si>
    <t>№802 от 03.03.15</t>
  </si>
  <si>
    <t>№1283 от 26.03.15</t>
  </si>
  <si>
    <t>№1916 от 30.04.15</t>
  </si>
  <si>
    <t>№2342 от 27.05.15</t>
  </si>
  <si>
    <t>№3391 от 06.07.15</t>
  </si>
  <si>
    <t>№3719 от 23.07.15</t>
  </si>
  <si>
    <t>№4555 от 20.08.15</t>
  </si>
  <si>
    <t>№5354 от 25.09.15</t>
  </si>
  <si>
    <t>7858 от 25.12.15</t>
  </si>
  <si>
    <t>Реконструкция  ПС-7. Комплекс работ по техническому перевооружению оборудования насосной станции. (инв .№10000512) (Реконструкция  ПС-7)</t>
  </si>
  <si>
    <t xml:space="preserve">290/12 от 10.09.12 </t>
  </si>
  <si>
    <t>№158 от 21.01.15</t>
  </si>
  <si>
    <t>№704 от 24.02.15</t>
  </si>
  <si>
    <t>№804 от 03.03.15</t>
  </si>
  <si>
    <t>№1143 от 23.03.15</t>
  </si>
  <si>
    <t>№1913 от 30.04.15</t>
  </si>
  <si>
    <t>№2341 от 27.05.15</t>
  </si>
  <si>
    <t>№3390 от 06.07.15</t>
  </si>
  <si>
    <t>№3718 от 23.07.15</t>
  </si>
  <si>
    <t>Реконструкция ПС-10. Комплекс работ по техническому перевооружению оборудования насосной станции.  (инв. №10000152) (Реконструкция  ПС-10)</t>
  </si>
  <si>
    <t>№8010 от 30.12.15 (часть)</t>
  </si>
  <si>
    <t>Отчет агента за декабрь</t>
  </si>
  <si>
    <t>Реконструкция ПС-13. Комплекс работ по техническому перевооружению оборудования насосной станции. (инв. №10000261) (Реконструкция  ПС-13)</t>
  </si>
  <si>
    <t>Реконструкция ПС-14. Комплекс работ по техническому перевооружению оборудования насосной станции. (инв. №10000483) (Реконструкция  ПС-14)</t>
  </si>
  <si>
    <t>Реконструкция здания административно-управленческого корпуса ул. Пешестрелецкая, 90 (инв. №10000002)</t>
  </si>
  <si>
    <t>ООО Фирма "РИАН"</t>
  </si>
  <si>
    <t xml:space="preserve"> №261/15 от 15.07.15</t>
  </si>
  <si>
    <t xml:space="preserve">№7012 от 27.11.15 </t>
  </si>
  <si>
    <t>ТОРГ-12 №3397/1 от 12.08.2015</t>
  </si>
  <si>
    <t>Приобретение диагностического оборудования для мониторинга  водоводов и сетей</t>
  </si>
  <si>
    <t>Доставка системы телеинспекции трубопроводов</t>
  </si>
  <si>
    <t>№282 от 27.01.15</t>
  </si>
  <si>
    <t>Приобретение основных средств (водоснабжение)</t>
  </si>
  <si>
    <t>ООО "РХС"</t>
  </si>
  <si>
    <t>782/14 от 12.12.14</t>
  </si>
  <si>
    <t>№109 от 16.01.15</t>
  </si>
  <si>
    <t>ООО "АвтоцентрГАЗ-Русавто"</t>
  </si>
  <si>
    <t>773/14 от 11.12.14</t>
  </si>
  <si>
    <t>№603 от 18.02.15</t>
  </si>
  <si>
    <t>№604 от 18.02.15</t>
  </si>
  <si>
    <t>ООО "Компания СИМ-авто"</t>
  </si>
  <si>
    <t>792/14 от 17.12.14</t>
  </si>
  <si>
    <t>№624 от 19.02.15</t>
  </si>
  <si>
    <t>776/14 от 11.12.14</t>
  </si>
  <si>
    <t>№807 от 03.03.15</t>
  </si>
  <si>
    <t>ТОРГ-12 №15 от 23.01.15</t>
  </si>
  <si>
    <t>№808 от 03.03.15</t>
  </si>
  <si>
    <t>№809 от 03.03.15</t>
  </si>
  <si>
    <t>№814 от 03.03.15</t>
  </si>
  <si>
    <t>ТОРГ-12 №26 от 03.02.15</t>
  </si>
  <si>
    <t>№1358 от 31.03.15</t>
  </si>
  <si>
    <t>№1421 от 02.04.15</t>
  </si>
  <si>
    <t>Госпошлина</t>
  </si>
  <si>
    <t>№510 от 11.02.15</t>
  </si>
  <si>
    <t>Акт №26 от 31.01.15 (часть)</t>
  </si>
  <si>
    <t>ООО "ЛАБОРАТОРИЯ ОХРАННЫХ СИСТЕМ"</t>
  </si>
  <si>
    <t>760/14 от 09.12.14</t>
  </si>
  <si>
    <t>№705 от 24.02.15</t>
  </si>
  <si>
    <t>791/14 от 17.12.14</t>
  </si>
  <si>
    <t>№722 от 25.02.15 (часть)</t>
  </si>
  <si>
    <t>21/15 от 26.01.15</t>
  </si>
  <si>
    <t>№1239 от 24.03.15 (часть)</t>
  </si>
  <si>
    <t>ТОРГ-12 №37623Л от 28.01.15 (часть)</t>
  </si>
  <si>
    <t>774/14 от 11.12.14</t>
  </si>
  <si>
    <t>№1430 от 03.04.15</t>
  </si>
  <si>
    <t>ТОРГ-12 №27 от 03.02.15</t>
  </si>
  <si>
    <t>№1473 от 06.04.15</t>
  </si>
  <si>
    <t>ТОРГ-12 №28 от 03.02.15</t>
  </si>
  <si>
    <t>взаимозачет март (часть)</t>
  </si>
  <si>
    <t>43/15 от 05.02.15</t>
  </si>
  <si>
    <t>№1559 от 09.04.15 (часть)</t>
  </si>
  <si>
    <t>ТОРГ-12 №5-37850Л от 11.02.15</t>
  </si>
  <si>
    <t>ТОРГ-12 №37869Л от 11.02.15</t>
  </si>
  <si>
    <t>ТОРГ-12 №37870Л от 12.02.15</t>
  </si>
  <si>
    <t>ТОРГ-12 №37845Л от 10.02.15</t>
  </si>
  <si>
    <t>№№619, 620, 621 от 19.02.15</t>
  </si>
  <si>
    <t>775/14 от 11.12.14</t>
  </si>
  <si>
    <t>№1329 от 27.03.15</t>
  </si>
  <si>
    <t>ТОРГ-12 №4 от 14.01.15</t>
  </si>
  <si>
    <t>№1330 от 27.03.15</t>
  </si>
  <si>
    <t>ТОРГ-12 №5 от 14.01.15</t>
  </si>
  <si>
    <t>№№233, 234 от 23.01.15</t>
  </si>
  <si>
    <t>808/14 от 15.12.14</t>
  </si>
  <si>
    <t>№1240 от 24.03.15 (часть)</t>
  </si>
  <si>
    <t>ТОРГ-12 №29 от 16.01.15</t>
  </si>
  <si>
    <t>ТОРГ-12 №48 от 21.01.15</t>
  </si>
  <si>
    <t>ТОРГ-12 №73 от 29.01.15 (часть)</t>
  </si>
  <si>
    <t>№№223, 224, 225, 226, 227, 228 от 23.01.15</t>
  </si>
  <si>
    <t>ООО "Полипластик Поволжье"</t>
  </si>
  <si>
    <t>102/15 от 02.03.15</t>
  </si>
  <si>
    <t>№1917 от 30.04.15</t>
  </si>
  <si>
    <t>ТОРГ-12 №332 от 02.03.15</t>
  </si>
  <si>
    <t xml:space="preserve">№4025 от 04.08.15 (часть) </t>
  </si>
  <si>
    <t>Акт №107 от 31.03.15 (часть)</t>
  </si>
  <si>
    <t>ООО НПП "ТехСистема-Урал"</t>
  </si>
  <si>
    <t xml:space="preserve"> 57/15  от 15.02.2015</t>
  </si>
  <si>
    <t>№1912 от 30.04.15</t>
  </si>
  <si>
    <t>ТОРГ-12 №20 от 01.04.15</t>
  </si>
  <si>
    <t>Отчет агента за апрель (часть)</t>
  </si>
  <si>
    <t>ООО "Ротулз"</t>
  </si>
  <si>
    <t>139/15 от 23.03.15</t>
  </si>
  <si>
    <t>№2204 от 20.05.15</t>
  </si>
  <si>
    <t>ТОРГ-12 №Р302 от 23.04.15</t>
  </si>
  <si>
    <t>ЗАО НПФ "ИТС"</t>
  </si>
  <si>
    <t>39/15 от 09.12.14</t>
  </si>
  <si>
    <t>№2348 от 27.05.15</t>
  </si>
  <si>
    <t>ТОРГ-12 №4564 от 28.04.15</t>
  </si>
  <si>
    <t>Отчет агента за май (часть)</t>
  </si>
  <si>
    <t>ООО "Технопарк"</t>
  </si>
  <si>
    <t>365/15 от 21.08.15</t>
  </si>
  <si>
    <t xml:space="preserve">№7020 от 27.11.15 </t>
  </si>
  <si>
    <t>ТОРГ-12 №13 от 01.10.15</t>
  </si>
  <si>
    <t>№5636 от 06.10.15</t>
  </si>
  <si>
    <t>329/15 от 10.08.15</t>
  </si>
  <si>
    <t>№6421 от 03.11.15</t>
  </si>
  <si>
    <t>ТОРГ-12 №12 от 01.10.15</t>
  </si>
  <si>
    <t>№5637 от 06.10.15</t>
  </si>
  <si>
    <t xml:space="preserve">Строительство водовода D=630 мм по ул. Шишкова от 2-х водоводов D=1000 мм на пересечении ул. Хользунова-ул. Шишкова до водовода D=1000 мм на  ул.Ломоносова (Реконструкция и замена водопроводных сетей) </t>
  </si>
  <si>
    <t>ЗАО "Металлургремонт СУ-5"</t>
  </si>
  <si>
    <t>107/14 от 31.01.14</t>
  </si>
  <si>
    <t xml:space="preserve">№457 от 06.02.15 </t>
  </si>
  <si>
    <t>ПИР, СМР. Строительство сетей водоснабжения в микрорайоне Никольское</t>
  </si>
  <si>
    <t>ПИР, СМР. Водоснабжение школы на 600 мест, расположенной по адресу Московский пр., 142у</t>
  </si>
  <si>
    <t>ООО ТСП "Воронеж Строй Комплекс"</t>
  </si>
  <si>
    <t xml:space="preserve">665/15 от 27.11.15 </t>
  </si>
  <si>
    <t>КС-2, КС-3 №1 от 03.12.2015</t>
  </si>
  <si>
    <t>ИТОГО по ВОДОСНАБЖЕНИЮ, в т.ч. общехозяйственные расходы:</t>
  </si>
  <si>
    <t>ВОДООТВЕДЕНИЕ</t>
  </si>
  <si>
    <t>ПИР, СМР. Реконструкция аэротенков с внедрением современных технологий нитри-денитрификации (инв. № 20000328) (ПИР: Проектно-изыскательские работы)</t>
  </si>
  <si>
    <t>Акт №27 от 31.01.15 (часть)</t>
  </si>
  <si>
    <t>Сторно (УК "РосВодоканал")</t>
  </si>
  <si>
    <t>ООО "Укрепрайон"</t>
  </si>
  <si>
    <t>728/14 от 28.11.14</t>
  </si>
  <si>
    <t>№187 от 22.01.15</t>
  </si>
  <si>
    <t>КС-2, КС-3 №6, №7 от 30.01.2015</t>
  </si>
  <si>
    <t>№188 от 22.01.15</t>
  </si>
  <si>
    <t>КС-2, КС-3 №8 от 28.02.2015</t>
  </si>
  <si>
    <t>№189 от 22.01.15</t>
  </si>
  <si>
    <t>КС-2, КС-3 №9 от 31.03.2015</t>
  </si>
  <si>
    <t>№800 от 03.03.15</t>
  </si>
  <si>
    <t>КС-2, КС-3 №10 от 27.04.2015</t>
  </si>
  <si>
    <t>№801 от 03.03.15</t>
  </si>
  <si>
    <t>№1286 от 26.03.15</t>
  </si>
  <si>
    <t>КС-2, КС-3 №11 от 27.04.2015</t>
  </si>
  <si>
    <t>№1357 от 31.03.15</t>
  </si>
  <si>
    <t>№1911 от 30.04.15</t>
  </si>
  <si>
    <t>КС-2, КС-3 №12 от 27.04.2015</t>
  </si>
  <si>
    <t>№2345 от 27.05.15</t>
  </si>
  <si>
    <t>№2346 от 27.05.15</t>
  </si>
  <si>
    <t>КС-2, КС-3 №13 от 27.04.2015</t>
  </si>
  <si>
    <t>№2347 от 27.05.15</t>
  </si>
  <si>
    <t>№2350 от 27.05.15</t>
  </si>
  <si>
    <t>КС-2, КС-3 №14 от 29.05.2015</t>
  </si>
  <si>
    <t>№3394 от 06.07.15</t>
  </si>
  <si>
    <t xml:space="preserve">КС-2, КС-3 №15 от 10.07.2015 </t>
  </si>
  <si>
    <t>№3722 от 23.07.15</t>
  </si>
  <si>
    <t>КС-2, КС-3 №16 от 10.07.2015</t>
  </si>
  <si>
    <t>№3723 от 23.07.15</t>
  </si>
  <si>
    <t>КС-2, КС-3 №17 от 31.07.2015</t>
  </si>
  <si>
    <t>№4131 от 10.08.15</t>
  </si>
  <si>
    <t>КС-2, КС-3 №18 от 31.08.2015</t>
  </si>
  <si>
    <t>№4643 от 10.08.15</t>
  </si>
  <si>
    <t>№4548 от 20.08.15</t>
  </si>
  <si>
    <t>№5356 от 25.09.15</t>
  </si>
  <si>
    <t>КС-2, КС-3 №19 от 29.09.2015</t>
  </si>
  <si>
    <t>№6366 от 30.10.15</t>
  </si>
  <si>
    <t>КС-2, КС-3 №20 от 01.10.2015</t>
  </si>
  <si>
    <t xml:space="preserve">№7021 от 27.11.15 </t>
  </si>
  <si>
    <t>КС-2, КС-3 №21 от 30.11.2015</t>
  </si>
  <si>
    <t>№7864 от 25.12.15</t>
  </si>
  <si>
    <t>КС-2, КС-3 №22 от 24.12.2015</t>
  </si>
  <si>
    <t xml:space="preserve">427/15 от 30.09.15 </t>
  </si>
  <si>
    <t xml:space="preserve">№7007 от 27.11.15 </t>
  </si>
  <si>
    <t>КС-2, КС-3 №1 от 30.09.2015</t>
  </si>
  <si>
    <t xml:space="preserve">№7008 от 27.11.15 </t>
  </si>
  <si>
    <t>КС-2, КС-3 №2 от 30.10.2015</t>
  </si>
  <si>
    <t>КС-2, КС-3 №3 от 30.11.2015</t>
  </si>
  <si>
    <t>АО "МАЙ ПРОЕКТ"</t>
  </si>
  <si>
    <t>468/15 от 16.10.15</t>
  </si>
  <si>
    <t xml:space="preserve">№7022 от 27.11.15 </t>
  </si>
  <si>
    <t>Акт №1 от 30.10.2015</t>
  </si>
  <si>
    <t>Акт от 29.12.2015</t>
  </si>
  <si>
    <t xml:space="preserve">469/15 от 20.10.15  </t>
  </si>
  <si>
    <t>Акт от 24.12.2015</t>
  </si>
  <si>
    <t>Акт №1 от 15.04.2015 (часть)</t>
  </si>
  <si>
    <t>№2206 от 20.05.15 (часть)</t>
  </si>
  <si>
    <t>Акт №2 от 15.04.2015 (часть)</t>
  </si>
  <si>
    <t>№2207 от 20.05.15 (часть)</t>
  </si>
  <si>
    <t>№3753 от 23.07.15</t>
  </si>
  <si>
    <t>№3757 от 23.07.15</t>
  </si>
  <si>
    <t>№4550 от 20.08.15</t>
  </si>
  <si>
    <t>№7016 от 27.11.15</t>
  </si>
  <si>
    <t>Капитализация процентов март</t>
  </si>
  <si>
    <t>Капитализация процентов апрель</t>
  </si>
  <si>
    <t>Капитализация процентов май</t>
  </si>
  <si>
    <t>Капитализация процентов июнь</t>
  </si>
  <si>
    <t>Капитализация процентов июль</t>
  </si>
  <si>
    <t>Капитализация процентов август</t>
  </si>
  <si>
    <t>Капитализация процентов сентябрь</t>
  </si>
  <si>
    <t>Капитализация процентов октябрь</t>
  </si>
  <si>
    <t xml:space="preserve"> Капитализация процентов (ноябрь)</t>
  </si>
  <si>
    <t xml:space="preserve"> Капитализация процентов (декабрь)</t>
  </si>
  <si>
    <t xml:space="preserve"> Общехозяйственные расходы (январь)</t>
  </si>
  <si>
    <t xml:space="preserve"> Общехозяйственные расходы (февраль)</t>
  </si>
  <si>
    <t xml:space="preserve"> Общехозяйственные расходы (март)</t>
  </si>
  <si>
    <t xml:space="preserve"> Общехозяйственные расходы (май)</t>
  </si>
  <si>
    <t xml:space="preserve"> Общехозяйственные расходы (сентябрь)</t>
  </si>
  <si>
    <t>ПИР, СМР. Строительство цеха механического обезвоживания осадка (ЦМО) на ПОС</t>
  </si>
  <si>
    <t>Приобретение основных средств (водоотведение)</t>
  </si>
  <si>
    <t>ООО НПП "Гидрокомплект"</t>
  </si>
  <si>
    <t>802/14 от 22.12.14</t>
  </si>
  <si>
    <t>№281 от 27.01.15</t>
  </si>
  <si>
    <t>ООО "Тарис"</t>
  </si>
  <si>
    <t>725/14 от 14.11.14</t>
  </si>
  <si>
    <t>№806 от 03.03.15</t>
  </si>
  <si>
    <t>ТОРГ-12 №6 от 26.01.15</t>
  </si>
  <si>
    <t>Доставка автомобиля</t>
  </si>
  <si>
    <t>№341 от 30.01.15</t>
  </si>
  <si>
    <t>Акт №7 от 26.01.15</t>
  </si>
  <si>
    <t>ООО "ФАКТОРА Групп"</t>
  </si>
  <si>
    <t>818/14 от 24.12.14</t>
  </si>
  <si>
    <t>№300 от 29.01.15</t>
  </si>
  <si>
    <t>№1048 от 17.03.15</t>
  </si>
  <si>
    <t>ТОРГ-12 №62 от 26.01.15</t>
  </si>
  <si>
    <t>№№229, 230, 231, 232 от 23.01.15</t>
  </si>
  <si>
    <t>ТОРГ-12 №5-37844Л от 10.02.15</t>
  </si>
  <si>
    <t>№622, №623 от 19.02.15</t>
  </si>
  <si>
    <t>ООО "НефтеГазАктив"</t>
  </si>
  <si>
    <t>817/14 от 27.12.14</t>
  </si>
  <si>
    <t>№1918 от 30.04.15</t>
  </si>
  <si>
    <t>ТОРГ-12 №18 от 26.03.15</t>
  </si>
  <si>
    <t>801/14 от 22.12.14</t>
  </si>
  <si>
    <t>№2203 от 20.05.15</t>
  </si>
  <si>
    <t xml:space="preserve"> ООО "НафтаЭКО инжиниринговая компания" (ООО "Водмашоборудование")</t>
  </si>
  <si>
    <t>133/15 от 25.03.15, согл. о замене сторон №157/15 от 10.04.15</t>
  </si>
  <si>
    <t>№5357 от 25.09.15</t>
  </si>
  <si>
    <t>Универсальный передаточный документ №180 от 27.07.15</t>
  </si>
  <si>
    <t xml:space="preserve">№6655 от 13.11.15 </t>
  </si>
  <si>
    <t>ООО "Рутектор"</t>
  </si>
  <si>
    <t xml:space="preserve">283/15 от 20.07.15 </t>
  </si>
  <si>
    <t>№3760 от 23.07.15</t>
  </si>
  <si>
    <t>ТОРГ-12 №368493-8-1 от 11.08.15</t>
  </si>
  <si>
    <t>№5087 от 10.09.15</t>
  </si>
  <si>
    <t>№5088 от 10.09.15</t>
  </si>
  <si>
    <t>ООО "ДИНРУС"</t>
  </si>
  <si>
    <t>299/15 от 22.07.15</t>
  </si>
  <si>
    <t>№4130 от 10.08.15</t>
  </si>
  <si>
    <t>ТОРГ-12 №177 от 14.09.15</t>
  </si>
  <si>
    <t xml:space="preserve">№6613 от 12.11.15 </t>
  </si>
  <si>
    <t>ООО "Торговая Компания "Коммаш"</t>
  </si>
  <si>
    <t>321/15 от 05.08.15</t>
  </si>
  <si>
    <t>№7019 от 27.11.15</t>
  </si>
  <si>
    <t>ТОРГ-12 №491 от 07.09.15</t>
  </si>
  <si>
    <t>Отчет агента за сентябрь (часть)</t>
  </si>
  <si>
    <t>№5218 от 17.09.15</t>
  </si>
  <si>
    <t>№384/15 от 09.09.2015</t>
  </si>
  <si>
    <t xml:space="preserve">№7009 от 27.11.15 </t>
  </si>
  <si>
    <t>ТОРГ-12 №10315 от 23.09.2015</t>
  </si>
  <si>
    <t>Материалы апрель (мотор-редуктор ООО НПП "Гидрокомплект")</t>
  </si>
  <si>
    <t>Материалы май (мотор-редуктор ООО НПП "Гидрокомплект")</t>
  </si>
  <si>
    <t>Оплата труда, страховые взносы апрель (мотор-редуктор ООО НПП "Гидрокомплект")</t>
  </si>
  <si>
    <t>Оплата труда, страховые взносы май (мотор-редуктор ООО НПП "Гидрокомплект")</t>
  </si>
  <si>
    <t>Оплата труда, страховые взносы июнь (мотор-редуктор ООО НПП "Гидрокомплект")</t>
  </si>
  <si>
    <t>ООО НПО "Эководпром"</t>
  </si>
  <si>
    <t>453/15 от 09.10.15</t>
  </si>
  <si>
    <t xml:space="preserve">№7023 от 27.11.15 </t>
  </si>
  <si>
    <t>ТОРГ-12 №24 от 09.10.2015</t>
  </si>
  <si>
    <t>426/15 от 30.09.15</t>
  </si>
  <si>
    <t>№7859 от 25.12.15</t>
  </si>
  <si>
    <t>ТОРГ-12 №4996 от 21.10.2015</t>
  </si>
  <si>
    <t>ПИР и СМР. Реконструкция главного Левобережного коллектора Д-2000 мм протяженностью L-1825 п.м. от камеры на пересечении ул. Брусилова-Ленинский проспект до ГКНС (инв. №30014578 «Канализационные сети Левобережного района»). (Реконструкция и замена канализационных сетей и коллекторов.)</t>
  </si>
  <si>
    <t>ООО "СтройПолимерМонтаж"</t>
  </si>
  <si>
    <t>306/14 от 19.05.14</t>
  </si>
  <si>
    <t>№340 от 30.01.15</t>
  </si>
  <si>
    <t>ООО "Производственная фирма "СТИС""</t>
  </si>
  <si>
    <t>651/14 от 29.10.14</t>
  </si>
  <si>
    <t>№298 от 28.01.15</t>
  </si>
  <si>
    <t>КС-2, КС-3 №3 от 27.04.2015</t>
  </si>
  <si>
    <t>№3396 от 06.07.15</t>
  </si>
  <si>
    <t>КС-2, КС-3 №4 от 27.04.2015</t>
  </si>
  <si>
    <t>№3865 от 06.07.15</t>
  </si>
  <si>
    <t>КС-2, КС-3 №6 от 27.04.2015</t>
  </si>
  <si>
    <t xml:space="preserve">   __</t>
  </si>
  <si>
    <t>КС-2, КС-3 №7 от 27.04.2015</t>
  </si>
  <si>
    <t>КС-2, КС-3 №5 от 27.04.2015</t>
  </si>
  <si>
    <t>КС-2, КС-3 №8 от 05.05.2015</t>
  </si>
  <si>
    <t>КС-2, КС-3 №9 от 27.05.2015</t>
  </si>
  <si>
    <t>КС-2, КС-3 №10 от 27.05.2015</t>
  </si>
  <si>
    <t>КС-2, КС-3 №12 от 27.05.2015</t>
  </si>
  <si>
    <t>КС-2, КС-3 №11 от 27.05.2015</t>
  </si>
  <si>
    <t>КС-2, КС-3 №15 от 27.05.2015</t>
  </si>
  <si>
    <t>КС-2, КС-3 №14 от 05.06.2015</t>
  </si>
  <si>
    <t>КС-2, КС-3 №20 от 05.06.2015</t>
  </si>
  <si>
    <t>КС-2, КС-3 №13 от 05.06.2015</t>
  </si>
  <si>
    <t>КС-2, КС-3 №16 от 05.06.2015</t>
  </si>
  <si>
    <t>КС-2, КС-3 №17 от 05.06.2015</t>
  </si>
  <si>
    <t>КС-2, КС-3 №18 от 05.06.2015</t>
  </si>
  <si>
    <t>КС-2, КС-3 №19 от 05.06.2015</t>
  </si>
  <si>
    <t>КС-2, КС-3 №21 от 05.06.2015</t>
  </si>
  <si>
    <t>КС-2, КС-3 №22 от 05.06.2015</t>
  </si>
  <si>
    <t>КС-2, КС-3 №23 от 05.06.2015</t>
  </si>
  <si>
    <t>КС-2, КС-3 №24 от 05.06.2015</t>
  </si>
  <si>
    <t>КС-2, КС-3 №25 от 05.06.2015</t>
  </si>
  <si>
    <t>КС-2, КС-3 №26 от 05.06.2015</t>
  </si>
  <si>
    <t>КС-2, КС-3 №27 от 05.06.2015</t>
  </si>
  <si>
    <t>КС-2, КС-3 №28 от 05.06.2015</t>
  </si>
  <si>
    <t>КС-2, КС-3 №29 от 05.06.2015</t>
  </si>
  <si>
    <t xml:space="preserve">507/15 от 16.11.15 </t>
  </si>
  <si>
    <t>КС-2, КС-3 №2 от 24.12.2015</t>
  </si>
  <si>
    <t>КС-2, КС-3 №4 от 24.12.2015</t>
  </si>
  <si>
    <t>КС-2, КС-3 №5 от 24.12.2015</t>
  </si>
  <si>
    <t>КС-2, КС-3 №6 от 24.12.2015</t>
  </si>
  <si>
    <t>КС-2, КС-3 №7 от 24.12.2015</t>
  </si>
  <si>
    <t>КС-2, КС-3 №8 от 24.12.2015</t>
  </si>
  <si>
    <t>Давальческие материалы ООО "Производственная фирма "СТИС" (апрель)</t>
  </si>
  <si>
    <t>Давальческие материалы ООО "Производственная фирма "СТИС" (май)</t>
  </si>
  <si>
    <t>Давальческие материалы ООО "Производственная фирма "СТИС" (июнь)</t>
  </si>
  <si>
    <t>УК «РОСВОДОКАНАЛ»</t>
  </si>
  <si>
    <t>№7445 от 10.12.15 (часть)</t>
  </si>
  <si>
    <t>Отчет агента за ноябрь (часть)</t>
  </si>
  <si>
    <t>№3754 от 23.07.15 (часть)</t>
  </si>
  <si>
    <t>№3758 от 23.07.15 (часть)</t>
  </si>
  <si>
    <t>№4551 от 20.08.15</t>
  </si>
  <si>
    <t xml:space="preserve">№7016 от 27.11.15 </t>
  </si>
  <si>
    <t>ФАУ "ФЦЦС"</t>
  </si>
  <si>
    <t>239/15 от 24.06.15</t>
  </si>
  <si>
    <t>УФК по Воронежской области</t>
  </si>
  <si>
    <t>Заключение №75 от 23.10.2014</t>
  </si>
  <si>
    <t>№6457 от 05.11.15</t>
  </si>
  <si>
    <t>Разрешение №893 от 05.11.2015</t>
  </si>
  <si>
    <t>494/15 от 05.11.15</t>
  </si>
  <si>
    <t>№7860 от 25.12.15</t>
  </si>
  <si>
    <t>№7862 от 25.12.15</t>
  </si>
  <si>
    <t>508/15 от 16.11.15</t>
  </si>
  <si>
    <t>№7863 от 25.12.15</t>
  </si>
  <si>
    <t>Давальческие материалы ООО "Производственная фирма "СТИС" (декабрь)</t>
  </si>
  <si>
    <t>Капитализация процентов январь</t>
  </si>
  <si>
    <t>Капитализация процентов февраль</t>
  </si>
  <si>
    <t>ПИР, СМР. Строительство канализационных сетей и сооружений в микрорайоне Никольское</t>
  </si>
  <si>
    <t>ПИР, СМР. Водоотведение школы на 600 мест, расположенной по адресу Московский пр., 142у</t>
  </si>
  <si>
    <t xml:space="preserve">№666/15 от 27.11.15 </t>
  </si>
  <si>
    <t>№7942 от 29.12.15</t>
  </si>
  <si>
    <t>КС-2, КС-3 №2 от 03.12.2015</t>
  </si>
  <si>
    <t>КС-2, КС-3 №2 от 10.12.2015</t>
  </si>
  <si>
    <t>КС-2, КС-3 №1 от 10.12.2015</t>
  </si>
  <si>
    <t>КС-2, КС-3 №1 от 25.12.2015</t>
  </si>
  <si>
    <t>ПИР. Реконструкция ГКНС (инв. №10000470) с заменой оборудования</t>
  </si>
  <si>
    <t>№3755 от 23.07.15</t>
  </si>
  <si>
    <t>№3759 от 23.07.15</t>
  </si>
  <si>
    <t>№4552 от 20.08.15</t>
  </si>
  <si>
    <t xml:space="preserve">№7017 от 27.11.15 </t>
  </si>
  <si>
    <t>Автоматизация КНС (монтаж шкафов автоматизации на 25 КНС)</t>
  </si>
  <si>
    <t>412/15 от 28.09.2015</t>
  </si>
  <si>
    <t xml:space="preserve">№6408 от 02.11.15 </t>
  </si>
  <si>
    <t>ТОРГ-12 №2377 от 20.11.15</t>
  </si>
  <si>
    <t>№7026 от 27.11.15</t>
  </si>
  <si>
    <t>Создание системы охранной сигнализации объектов ул. Солнечная 6, пр. Патриотов 34а, ул. Ленинградская 58в</t>
  </si>
  <si>
    <t>ООО "Комплекс систем безопасности"</t>
  </si>
  <si>
    <t>770/14 от 11.12.14</t>
  </si>
  <si>
    <t>№278 от 27.01.15</t>
  </si>
  <si>
    <t xml:space="preserve">Создание системы охраны периметра ПОС </t>
  </si>
  <si>
    <t>№5221 от 17.09.15 (часть)</t>
  </si>
  <si>
    <t>Отчет агента за июль (часть)</t>
  </si>
  <si>
    <t>ООО "Завод Полипром"</t>
  </si>
  <si>
    <t xml:space="preserve">№258/15 от 14.07.2015 </t>
  </si>
  <si>
    <t xml:space="preserve">№6420 от 03.11.15 </t>
  </si>
  <si>
    <t xml:space="preserve">№6598 от 11.11.15 </t>
  </si>
  <si>
    <t>КС-2, КС-3 №2 от 18.09.15</t>
  </si>
  <si>
    <t xml:space="preserve">№6746 от 16.11.15 </t>
  </si>
  <si>
    <t xml:space="preserve">Создание системы охраны периметра ГКНС, РКНС </t>
  </si>
  <si>
    <t>ООО ЧОП "Багира"</t>
  </si>
  <si>
    <t>112/15 от 10.03.15</t>
  </si>
  <si>
    <t>№2349 от 27.05.15</t>
  </si>
  <si>
    <t>Акт о приемке выполненных работ 112/15-2 от 05.05.15</t>
  </si>
  <si>
    <t>ИТОГО по ВОДООТВЕДЕНИЮ, в т.ч. общехозяйственные расходы</t>
  </si>
  <si>
    <t>ВСЕГО по ВОДОСНАБЖЕНИЮ и ВОДООТВЕДЕНИЮ, в т.ч. общехозяйственные расходы</t>
  </si>
  <si>
    <t>3 квартал 2015 г.</t>
  </si>
  <si>
    <t>4 квартал 2015 г.</t>
  </si>
  <si>
    <t>Справочно</t>
  </si>
  <si>
    <t>Структура финансовых потоков по инвестиционной программе</t>
  </si>
  <si>
    <t>Показатель</t>
  </si>
  <si>
    <t>Начисление</t>
  </si>
  <si>
    <t>Оплата</t>
  </si>
  <si>
    <t>Выполнение /Финансирование мероприятий с НДС в ценах соответствующих лет  с учетом накладных расходов</t>
  </si>
  <si>
    <t>Финансирование ИП за счет кредитов</t>
  </si>
  <si>
    <t>Погашение кредитов</t>
  </si>
  <si>
    <t>Бюджетное финансирование работ в рамках инвестиционной программы (субсидии)</t>
  </si>
  <si>
    <t>Расходы на обслуживание кредитов, в т.ч.</t>
  </si>
  <si>
    <t xml:space="preserve">- банковская гарантия </t>
  </si>
  <si>
    <t>- расходы на %% по кредитам</t>
  </si>
  <si>
    <t>17 565</t>
  </si>
  <si>
    <t>Выручка по ВС и ВО в части инвест составляющей с НДС/Поступление выручки по ВС и ВО части инвест составляющей с НДС</t>
  </si>
  <si>
    <t>Налог на прибыль (расчетный по ИП)</t>
  </si>
  <si>
    <t>НДС итого, в т. ч.</t>
  </si>
  <si>
    <t>Возмещение НДС с расходов по инвестиционным мероприятиям</t>
  </si>
  <si>
    <t>НДС к уплате (расчетный)</t>
  </si>
  <si>
    <t>18 508</t>
  </si>
  <si>
    <t>Выполнение /Финансирование мероприятий с НДС в ценах соответствующих лет  с учетом накладных расходов</t>
  </si>
  <si>
    <t xml:space="preserve"> </t>
  </si>
  <si>
    <t>Финансовый директор                                      С.В. Туршатова</t>
  </si>
  <si>
    <t>Начальник ОРИП                                                  О.А. Дорохов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</si>
</sst>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color theme="1"/>
      <name val="Arial Narrow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theme="1"/>
      <name val="Times New Roman"/>
      <family val="2"/>
      <charset val="204"/>
    </font>
    <font>
      <b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theme="7" tint="0.59999389629810485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10" fillId="0" borderId="0"/>
    <xf numFmtId="0" fontId="11" fillId="0" borderId="0"/>
    <xf numFmtId="0" fontId="2" fillId="0" borderId="0"/>
    <xf numFmtId="0" fontId="12" fillId="0" borderId="0"/>
  </cellStyleXfs>
  <cellXfs count="270">
    <xf numFmtId="0" fontId="0" fillId="0" borderId="0" xfId="0"/>
    <xf numFmtId="0" fontId="3" fillId="0" borderId="0" xfId="1" applyFont="1"/>
    <xf numFmtId="0" fontId="3" fillId="0" borderId="0" xfId="1" applyFont="1" applyFill="1"/>
    <xf numFmtId="0" fontId="1" fillId="0" borderId="0" xfId="1"/>
    <xf numFmtId="0" fontId="4" fillId="0" borderId="0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164" fontId="6" fillId="0" borderId="21" xfId="1" applyNumberFormat="1" applyFont="1" applyFill="1" applyBorder="1" applyAlignment="1">
      <alignment horizontal="center" vertical="center" wrapText="1"/>
    </xf>
    <xf numFmtId="165" fontId="6" fillId="0" borderId="19" xfId="1" applyNumberFormat="1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5" fontId="6" fillId="0" borderId="24" xfId="1" applyNumberFormat="1" applyFont="1" applyFill="1" applyBorder="1" applyAlignment="1">
      <alignment horizontal="center" vertical="center" wrapText="1"/>
    </xf>
    <xf numFmtId="165" fontId="6" fillId="0" borderId="21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5" fontId="6" fillId="0" borderId="22" xfId="1" applyNumberFormat="1" applyFont="1" applyFill="1" applyBorder="1" applyAlignment="1">
      <alignment horizontal="center" vertical="center" wrapText="1"/>
    </xf>
    <xf numFmtId="165" fontId="6" fillId="0" borderId="23" xfId="1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5" fontId="6" fillId="0" borderId="7" xfId="1" applyNumberFormat="1" applyFont="1" applyFill="1" applyBorder="1" applyAlignment="1">
      <alignment horizontal="center" vertical="center" wrapText="1"/>
    </xf>
    <xf numFmtId="165" fontId="6" fillId="0" borderId="10" xfId="1" applyNumberFormat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164" fontId="6" fillId="0" borderId="34" xfId="1" applyNumberFormat="1" applyFont="1" applyFill="1" applyBorder="1" applyAlignment="1">
      <alignment horizontal="center" vertical="center" wrapText="1"/>
    </xf>
    <xf numFmtId="164" fontId="6" fillId="0" borderId="35" xfId="1" applyNumberFormat="1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165" fontId="6" fillId="0" borderId="39" xfId="1" applyNumberFormat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164" fontId="6" fillId="0" borderId="43" xfId="1" applyNumberFormat="1" applyFont="1" applyFill="1" applyBorder="1" applyAlignment="1">
      <alignment horizontal="center" vertical="center" wrapText="1"/>
    </xf>
    <xf numFmtId="165" fontId="6" fillId="0" borderId="35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165" fontId="6" fillId="0" borderId="34" xfId="1" applyNumberFormat="1" applyFont="1" applyFill="1" applyBorder="1" applyAlignment="1">
      <alignment horizontal="center" vertical="center" wrapText="1"/>
    </xf>
    <xf numFmtId="164" fontId="3" fillId="0" borderId="45" xfId="1" applyNumberFormat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164" fontId="6" fillId="0" borderId="38" xfId="1" applyNumberFormat="1" applyFont="1" applyFill="1" applyBorder="1" applyAlignment="1">
      <alignment horizontal="center" vertical="center" wrapText="1"/>
    </xf>
    <xf numFmtId="164" fontId="6" fillId="0" borderId="25" xfId="1" applyNumberFormat="1" applyFont="1" applyFill="1" applyBorder="1" applyAlignment="1">
      <alignment horizontal="center" vertical="center" wrapText="1"/>
    </xf>
    <xf numFmtId="164" fontId="6" fillId="0" borderId="37" xfId="1" applyNumberFormat="1" applyFont="1" applyFill="1" applyBorder="1" applyAlignment="1">
      <alignment horizontal="center" vertical="center" wrapText="1"/>
    </xf>
    <xf numFmtId="164" fontId="6" fillId="0" borderId="39" xfId="1" applyNumberFormat="1" applyFont="1" applyFill="1" applyBorder="1" applyAlignment="1">
      <alignment horizontal="center" vertical="center" wrapText="1"/>
    </xf>
    <xf numFmtId="164" fontId="6" fillId="0" borderId="42" xfId="1" applyNumberFormat="1" applyFont="1" applyFill="1" applyBorder="1" applyAlignment="1">
      <alignment horizontal="center" vertical="center" wrapText="1"/>
    </xf>
    <xf numFmtId="164" fontId="6" fillId="0" borderId="30" xfId="1" applyNumberFormat="1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47" xfId="1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165" fontId="6" fillId="0" borderId="20" xfId="1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5" fontId="6" fillId="0" borderId="18" xfId="1" applyNumberFormat="1" applyFont="1" applyFill="1" applyBorder="1" applyAlignment="1">
      <alignment horizontal="center" vertical="center" wrapText="1"/>
    </xf>
    <xf numFmtId="165" fontId="6" fillId="0" borderId="47" xfId="1" applyNumberFormat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48" xfId="1" applyFont="1" applyFill="1" applyBorder="1" applyAlignment="1">
      <alignment horizontal="center" vertical="center" wrapText="1"/>
    </xf>
    <xf numFmtId="165" fontId="6" fillId="0" borderId="48" xfId="1" applyNumberFormat="1" applyFont="1" applyFill="1" applyBorder="1" applyAlignment="1">
      <alignment horizontal="center" vertical="center" wrapText="1"/>
    </xf>
    <xf numFmtId="164" fontId="6" fillId="0" borderId="48" xfId="1" applyNumberFormat="1" applyFont="1" applyFill="1" applyBorder="1" applyAlignment="1">
      <alignment horizontal="center" vertical="center" wrapText="1"/>
    </xf>
    <xf numFmtId="165" fontId="6" fillId="0" borderId="13" xfId="1" applyNumberFormat="1" applyFont="1" applyFill="1" applyBorder="1" applyAlignment="1">
      <alignment horizontal="center" vertical="center" wrapText="1"/>
    </xf>
    <xf numFmtId="0" fontId="1" fillId="0" borderId="0" xfId="1" applyFill="1"/>
    <xf numFmtId="0" fontId="6" fillId="0" borderId="49" xfId="1" applyFont="1" applyFill="1" applyBorder="1" applyAlignment="1">
      <alignment horizontal="center" vertical="center" wrapText="1"/>
    </xf>
    <xf numFmtId="164" fontId="6" fillId="0" borderId="50" xfId="1" applyNumberFormat="1" applyFont="1" applyFill="1" applyBorder="1" applyAlignment="1">
      <alignment horizontal="center" vertical="center" wrapText="1"/>
    </xf>
    <xf numFmtId="164" fontId="6" fillId="0" borderId="52" xfId="1" applyNumberFormat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17" fontId="6" fillId="0" borderId="34" xfId="1" applyNumberFormat="1" applyFont="1" applyFill="1" applyBorder="1" applyAlignment="1">
      <alignment horizontal="center" vertical="center" wrapText="1"/>
    </xf>
    <xf numFmtId="17" fontId="6" fillId="0" borderId="19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164" fontId="4" fillId="0" borderId="37" xfId="1" applyNumberFormat="1" applyFont="1" applyFill="1" applyBorder="1" applyAlignment="1">
      <alignment horizontal="center" vertical="center" wrapText="1"/>
    </xf>
    <xf numFmtId="164" fontId="4" fillId="0" borderId="39" xfId="1" applyNumberFormat="1" applyFont="1" applyFill="1" applyBorder="1" applyAlignment="1">
      <alignment horizontal="center" vertical="center" wrapText="1"/>
    </xf>
    <xf numFmtId="164" fontId="6" fillId="0" borderId="59" xfId="1" applyNumberFormat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vertical="center" wrapText="1"/>
    </xf>
    <xf numFmtId="17" fontId="6" fillId="0" borderId="20" xfId="1" applyNumberFormat="1" applyFont="1" applyFill="1" applyBorder="1" applyAlignment="1">
      <alignment horizontal="center" vertical="center" wrapText="1"/>
    </xf>
    <xf numFmtId="165" fontId="6" fillId="0" borderId="59" xfId="1" applyNumberFormat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164" fontId="6" fillId="0" borderId="27" xfId="1" applyNumberFormat="1" applyFont="1" applyFill="1" applyBorder="1" applyAlignment="1">
      <alignment horizontal="center" vertical="center" wrapText="1"/>
    </xf>
    <xf numFmtId="164" fontId="6" fillId="0" borderId="9" xfId="1" applyNumberFormat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5" fontId="6" fillId="0" borderId="38" xfId="1" applyNumberFormat="1" applyFont="1" applyFill="1" applyBorder="1" applyAlignment="1">
      <alignment horizontal="center" vertical="center" wrapText="1"/>
    </xf>
    <xf numFmtId="164" fontId="4" fillId="0" borderId="61" xfId="1" applyNumberFormat="1" applyFont="1" applyFill="1" applyBorder="1" applyAlignment="1">
      <alignment horizontal="center" vertical="center" wrapText="1"/>
    </xf>
    <xf numFmtId="164" fontId="6" fillId="0" borderId="61" xfId="1" applyNumberFormat="1" applyFont="1" applyFill="1" applyBorder="1" applyAlignment="1">
      <alignment horizontal="center" vertical="center" wrapText="1"/>
    </xf>
    <xf numFmtId="165" fontId="6" fillId="0" borderId="51" xfId="1" applyNumberFormat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164" fontId="6" fillId="0" borderId="36" xfId="1" applyNumberFormat="1" applyFont="1" applyFill="1" applyBorder="1" applyAlignment="1">
      <alignment horizontal="center" vertical="center" wrapText="1"/>
    </xf>
    <xf numFmtId="0" fontId="6" fillId="0" borderId="35" xfId="1" applyFont="1" applyFill="1" applyBorder="1" applyAlignment="1">
      <alignment horizontal="center" vertical="center" wrapText="1"/>
    </xf>
    <xf numFmtId="164" fontId="3" fillId="0" borderId="19" xfId="1" applyNumberFormat="1" applyFont="1" applyFill="1" applyBorder="1" applyAlignment="1">
      <alignment horizontal="center" vertical="center"/>
    </xf>
    <xf numFmtId="165" fontId="6" fillId="0" borderId="52" xfId="1" applyNumberFormat="1" applyFont="1" applyFill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164" fontId="3" fillId="0" borderId="12" xfId="1" applyNumberFormat="1" applyFont="1" applyFill="1" applyBorder="1" applyAlignment="1">
      <alignment horizontal="center" vertical="center"/>
    </xf>
    <xf numFmtId="164" fontId="6" fillId="0" borderId="63" xfId="1" applyNumberFormat="1" applyFont="1" applyFill="1" applyBorder="1" applyAlignment="1">
      <alignment horizontal="center" vertical="center" wrapText="1"/>
    </xf>
    <xf numFmtId="165" fontId="6" fillId="0" borderId="43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vertical="center" wrapText="1"/>
    </xf>
    <xf numFmtId="3" fontId="16" fillId="2" borderId="19" xfId="0" applyNumberFormat="1" applyFont="1" applyFill="1" applyBorder="1" applyAlignment="1">
      <alignment horizontal="right" vertical="center" wrapText="1"/>
    </xf>
    <xf numFmtId="0" fontId="16" fillId="2" borderId="19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19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vertical="center" wrapText="1"/>
    </xf>
    <xf numFmtId="3" fontId="6" fillId="3" borderId="19" xfId="0" applyNumberFormat="1" applyFont="1" applyFill="1" applyBorder="1" applyAlignment="1">
      <alignment horizontal="right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164" fontId="6" fillId="0" borderId="21" xfId="1" applyNumberFormat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6" fillId="0" borderId="47" xfId="1" applyNumberFormat="1" applyFont="1" applyFill="1" applyBorder="1" applyAlignment="1">
      <alignment horizontal="center" vertical="center" wrapText="1"/>
    </xf>
    <xf numFmtId="165" fontId="6" fillId="0" borderId="47" xfId="1" applyNumberFormat="1" applyFont="1" applyFill="1" applyBorder="1" applyAlignment="1">
      <alignment horizontal="center" vertical="center" wrapText="1"/>
    </xf>
    <xf numFmtId="165" fontId="6" fillId="0" borderId="39" xfId="1" applyNumberFormat="1" applyFont="1" applyFill="1" applyBorder="1" applyAlignment="1">
      <alignment horizontal="center" vertical="center" wrapText="1"/>
    </xf>
    <xf numFmtId="164" fontId="6" fillId="0" borderId="25" xfId="1" applyNumberFormat="1" applyFont="1" applyFill="1" applyBorder="1" applyAlignment="1">
      <alignment horizontal="center" vertical="center" wrapText="1"/>
    </xf>
    <xf numFmtId="165" fontId="6" fillId="0" borderId="18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164" fontId="6" fillId="0" borderId="34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6" xfId="1" applyFont="1" applyFill="1" applyBorder="1" applyAlignment="1">
      <alignment horizontal="center" vertical="center" wrapText="1"/>
    </xf>
    <xf numFmtId="0" fontId="6" fillId="0" borderId="29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4" fillId="0" borderId="61" xfId="1" applyFont="1" applyFill="1" applyBorder="1" applyAlignment="1">
      <alignment horizontal="center" vertical="center" wrapText="1"/>
    </xf>
    <xf numFmtId="164" fontId="6" fillId="0" borderId="4" xfId="1" applyNumberFormat="1" applyFont="1" applyFill="1" applyBorder="1" applyAlignment="1">
      <alignment horizontal="center" vertical="center" wrapText="1"/>
    </xf>
    <xf numFmtId="164" fontId="6" fillId="0" borderId="20" xfId="1" applyNumberFormat="1" applyFont="1" applyFill="1" applyBorder="1" applyAlignment="1">
      <alignment horizontal="center" vertical="center" wrapText="1"/>
    </xf>
    <xf numFmtId="165" fontId="6" fillId="0" borderId="3" xfId="1" applyNumberFormat="1" applyFont="1" applyFill="1" applyBorder="1" applyAlignment="1">
      <alignment horizontal="center" vertical="center" wrapText="1"/>
    </xf>
    <xf numFmtId="165" fontId="6" fillId="0" borderId="27" xfId="1" applyNumberFormat="1" applyFont="1" applyFill="1" applyBorder="1" applyAlignment="1">
      <alignment horizontal="center" vertical="center" wrapText="1"/>
    </xf>
    <xf numFmtId="165" fontId="6" fillId="0" borderId="38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0" fontId="6" fillId="0" borderId="33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18" xfId="1" applyNumberFormat="1" applyFont="1" applyFill="1" applyBorder="1" applyAlignment="1">
      <alignment horizontal="center" vertical="center" wrapText="1"/>
    </xf>
    <xf numFmtId="164" fontId="6" fillId="0" borderId="29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25" xfId="1" applyNumberFormat="1" applyFont="1" applyFill="1" applyBorder="1" applyAlignment="1">
      <alignment horizontal="center" vertical="center" wrapText="1"/>
    </xf>
    <xf numFmtId="165" fontId="6" fillId="0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6" fillId="0" borderId="37" xfId="1" applyNumberFormat="1" applyFont="1" applyFill="1" applyBorder="1" applyAlignment="1">
      <alignment horizontal="center" vertical="center" wrapText="1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18" xfId="1" applyNumberFormat="1" applyFont="1" applyFill="1" applyBorder="1" applyAlignment="1">
      <alignment horizontal="center" vertical="center" wrapText="1"/>
    </xf>
    <xf numFmtId="165" fontId="6" fillId="0" borderId="8" xfId="1" applyNumberFormat="1" applyFont="1" applyFill="1" applyBorder="1" applyAlignment="1">
      <alignment horizontal="center" vertical="center" wrapText="1"/>
    </xf>
    <xf numFmtId="0" fontId="6" fillId="0" borderId="30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37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5" fontId="6" fillId="0" borderId="15" xfId="1" applyNumberFormat="1" applyFont="1" applyFill="1" applyBorder="1" applyAlignment="1">
      <alignment horizontal="center" vertical="center" wrapText="1"/>
    </xf>
    <xf numFmtId="165" fontId="6" fillId="0" borderId="47" xfId="1" applyNumberFormat="1" applyFont="1" applyFill="1" applyBorder="1" applyAlignment="1">
      <alignment horizontal="center" vertical="center" wrapText="1"/>
    </xf>
    <xf numFmtId="165" fontId="6" fillId="0" borderId="39" xfId="1" applyNumberFormat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36" xfId="1" applyFont="1" applyFill="1" applyBorder="1" applyAlignment="1">
      <alignment horizontal="center" vertical="center" wrapText="1"/>
    </xf>
    <xf numFmtId="0" fontId="6" fillId="0" borderId="60" xfId="1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 wrapText="1"/>
    </xf>
    <xf numFmtId="0" fontId="6" fillId="0" borderId="6" xfId="3" applyNumberFormat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27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6" fillId="0" borderId="47" xfId="1" applyNumberFormat="1" applyFont="1" applyFill="1" applyBorder="1" applyAlignment="1">
      <alignment horizontal="center" vertical="center" wrapText="1"/>
    </xf>
    <xf numFmtId="164" fontId="6" fillId="0" borderId="21" xfId="1" applyNumberFormat="1" applyFont="1" applyFill="1" applyBorder="1" applyAlignment="1">
      <alignment horizontal="center" vertical="center" wrapText="1"/>
    </xf>
    <xf numFmtId="164" fontId="6" fillId="0" borderId="31" xfId="1" applyNumberFormat="1" applyFont="1" applyFill="1" applyBorder="1" applyAlignment="1">
      <alignment horizontal="center" vertical="center" wrapText="1"/>
    </xf>
    <xf numFmtId="164" fontId="6" fillId="0" borderId="19" xfId="1" applyNumberFormat="1" applyFont="1" applyFill="1" applyBorder="1" applyAlignment="1">
      <alignment horizontal="center" vertical="center" wrapText="1"/>
    </xf>
    <xf numFmtId="0" fontId="4" fillId="0" borderId="32" xfId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  <xf numFmtId="0" fontId="4" fillId="0" borderId="38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57" xfId="1" applyNumberFormat="1" applyFont="1" applyFill="1" applyBorder="1" applyAlignment="1">
      <alignment horizontal="center" vertical="center" wrapText="1"/>
    </xf>
    <xf numFmtId="164" fontId="6" fillId="0" borderId="53" xfId="1" applyNumberFormat="1" applyFont="1" applyFill="1" applyBorder="1" applyAlignment="1">
      <alignment horizontal="center" vertical="center" wrapText="1"/>
    </xf>
    <xf numFmtId="164" fontId="6" fillId="0" borderId="58" xfId="1" applyNumberFormat="1" applyFont="1" applyFill="1" applyBorder="1" applyAlignment="1">
      <alignment horizontal="center" vertical="center" wrapText="1"/>
    </xf>
    <xf numFmtId="0" fontId="6" fillId="0" borderId="54" xfId="3" applyNumberFormat="1" applyFont="1" applyFill="1" applyBorder="1" applyAlignment="1">
      <alignment horizontal="center" vertical="center" wrapText="1"/>
    </xf>
    <xf numFmtId="0" fontId="6" fillId="0" borderId="55" xfId="3" applyNumberFormat="1" applyFont="1" applyFill="1" applyBorder="1" applyAlignment="1">
      <alignment horizontal="center" vertical="center" wrapText="1"/>
    </xf>
    <xf numFmtId="0" fontId="6" fillId="0" borderId="56" xfId="3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4" fillId="0" borderId="16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5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44" xfId="3" applyNumberFormat="1" applyFont="1" applyFill="1" applyBorder="1" applyAlignment="1">
      <alignment horizontal="center" vertical="center" wrapText="1"/>
    </xf>
    <xf numFmtId="17" fontId="6" fillId="0" borderId="19" xfId="1" applyNumberFormat="1" applyFont="1" applyFill="1" applyBorder="1" applyAlignment="1">
      <alignment horizontal="center" vertical="center" wrapText="1"/>
    </xf>
    <xf numFmtId="0" fontId="6" fillId="0" borderId="50" xfId="1" applyFont="1" applyFill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55" xfId="1" applyFont="1" applyFill="1" applyBorder="1" applyAlignment="1">
      <alignment horizontal="center" vertical="center" wrapText="1"/>
    </xf>
    <xf numFmtId="0" fontId="6" fillId="0" borderId="56" xfId="1" applyFont="1" applyFill="1" applyBorder="1" applyAlignment="1">
      <alignment horizontal="center" vertical="center" wrapText="1"/>
    </xf>
    <xf numFmtId="0" fontId="6" fillId="0" borderId="32" xfId="1" applyFont="1" applyFill="1" applyBorder="1" applyAlignment="1">
      <alignment horizontal="center" vertical="center" wrapText="1"/>
    </xf>
    <xf numFmtId="0" fontId="6" fillId="0" borderId="4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3" xfId="1" applyNumberFormat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4" fillId="0" borderId="41" xfId="1" applyFont="1" applyFill="1" applyBorder="1" applyAlignment="1">
      <alignment horizontal="center" vertical="center" wrapText="1"/>
    </xf>
    <xf numFmtId="0" fontId="6" fillId="0" borderId="42" xfId="1" applyFont="1" applyFill="1" applyBorder="1" applyAlignment="1">
      <alignment horizontal="center" vertical="center" wrapText="1"/>
    </xf>
    <xf numFmtId="0" fontId="6" fillId="0" borderId="43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0" fontId="4" fillId="0" borderId="13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164" fontId="6" fillId="0" borderId="39" xfId="1" applyNumberFormat="1" applyFont="1" applyFill="1" applyBorder="1" applyAlignment="1">
      <alignment horizontal="center" vertical="center" wrapText="1"/>
    </xf>
    <xf numFmtId="0" fontId="6" fillId="0" borderId="34" xfId="1" applyFont="1" applyFill="1" applyBorder="1" applyAlignment="1">
      <alignment horizontal="center" vertical="center" wrapText="1"/>
    </xf>
    <xf numFmtId="164" fontId="6" fillId="0" borderId="34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4" fillId="0" borderId="62" xfId="1" applyFont="1" applyFill="1" applyBorder="1" applyAlignment="1">
      <alignment horizontal="center" vertical="center" wrapText="1"/>
    </xf>
    <xf numFmtId="0" fontId="6" fillId="0" borderId="33" xfId="3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/>
    </xf>
    <xf numFmtId="0" fontId="17" fillId="0" borderId="0" xfId="1" applyFont="1" applyFill="1"/>
  </cellXfs>
  <cellStyles count="8">
    <cellStyle name="Обычный" xfId="0" builtinId="0"/>
    <cellStyle name="Обычный 2" xfId="1"/>
    <cellStyle name="Обычный 2 10" xfId="4"/>
    <cellStyle name="Обычный 2 2" xfId="2"/>
    <cellStyle name="Обычный 29" xfId="5"/>
    <cellStyle name="Обычный 3" xfId="6"/>
    <cellStyle name="Обычный 4" xfId="7"/>
    <cellStyle name="Обычный_Бизнес-план 2005 г. (РВК)1 экспериментальн 2 со 2 квартала_1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484"/>
  <sheetViews>
    <sheetView tabSelected="1" zoomScale="60" zoomScaleNormal="60" workbookViewId="0">
      <selection activeCell="R120" sqref="R120"/>
    </sheetView>
  </sheetViews>
  <sheetFormatPr defaultRowHeight="15" x14ac:dyDescent="0.25"/>
  <cols>
    <col min="1" max="1" width="9.140625" style="1"/>
    <col min="2" max="2" width="48" style="1" customWidth="1"/>
    <col min="3" max="3" width="19.85546875" style="1" customWidth="1"/>
    <col min="4" max="4" width="14.28515625" style="1" customWidth="1"/>
    <col min="5" max="5" width="17.42578125" style="1" customWidth="1"/>
    <col min="6" max="6" width="18.28515625" style="1" customWidth="1"/>
    <col min="7" max="7" width="13.42578125" style="1" customWidth="1"/>
    <col min="8" max="8" width="17" style="1" customWidth="1"/>
    <col min="9" max="9" width="19.85546875" style="1" customWidth="1"/>
    <col min="10" max="11" width="16.85546875" style="1" customWidth="1"/>
    <col min="12" max="13" width="9.140625" style="1"/>
    <col min="14" max="16384" width="9.140625" style="3"/>
  </cols>
  <sheetData>
    <row r="1" spans="2:12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.75" x14ac:dyDescent="0.25">
      <c r="B2" s="240" t="s">
        <v>0</v>
      </c>
      <c r="C2" s="240"/>
      <c r="D2" s="240"/>
      <c r="E2" s="240"/>
      <c r="F2" s="240"/>
      <c r="G2" s="240"/>
      <c r="H2" s="240"/>
      <c r="I2" s="240"/>
      <c r="J2" s="240"/>
      <c r="K2" s="240"/>
      <c r="L2" s="2"/>
    </row>
    <row r="3" spans="2:12" ht="15.75" x14ac:dyDescent="0.25">
      <c r="B3" s="241" t="s">
        <v>1</v>
      </c>
      <c r="C3" s="241"/>
      <c r="D3" s="241"/>
      <c r="E3" s="241"/>
      <c r="F3" s="241"/>
      <c r="G3" s="241"/>
      <c r="H3" s="241"/>
      <c r="I3" s="241"/>
      <c r="J3" s="241"/>
      <c r="K3" s="241"/>
      <c r="L3" s="2"/>
    </row>
    <row r="4" spans="2:12" ht="15.75" x14ac:dyDescent="0.25">
      <c r="B4" s="242" t="s">
        <v>2</v>
      </c>
      <c r="C4" s="242"/>
      <c r="D4" s="242"/>
      <c r="E4" s="242"/>
      <c r="F4" s="242"/>
      <c r="G4" s="242"/>
      <c r="H4" s="242"/>
      <c r="I4" s="242"/>
      <c r="J4" s="242"/>
      <c r="K4" s="242"/>
      <c r="L4" s="2"/>
    </row>
    <row r="5" spans="2:12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2"/>
    </row>
    <row r="6" spans="2:12" ht="27" customHeight="1" x14ac:dyDescent="0.25">
      <c r="B6" s="243" t="s">
        <v>3</v>
      </c>
      <c r="C6" s="245" t="s">
        <v>4</v>
      </c>
      <c r="D6" s="246"/>
      <c r="E6" s="247" t="s">
        <v>5</v>
      </c>
      <c r="F6" s="247" t="s">
        <v>6</v>
      </c>
      <c r="G6" s="249" t="s">
        <v>7</v>
      </c>
      <c r="H6" s="250"/>
      <c r="I6" s="251" t="s">
        <v>8</v>
      </c>
      <c r="J6" s="253" t="s">
        <v>9</v>
      </c>
      <c r="K6" s="254"/>
      <c r="L6" s="2"/>
    </row>
    <row r="7" spans="2:12" ht="57.75" customHeight="1" thickBot="1" x14ac:dyDescent="0.3">
      <c r="B7" s="244"/>
      <c r="C7" s="5" t="s">
        <v>10</v>
      </c>
      <c r="D7" s="5" t="s">
        <v>11</v>
      </c>
      <c r="E7" s="248"/>
      <c r="F7" s="248"/>
      <c r="G7" s="6" t="s">
        <v>12</v>
      </c>
      <c r="H7" s="7" t="s">
        <v>13</v>
      </c>
      <c r="I7" s="252"/>
      <c r="J7" s="6" t="s">
        <v>12</v>
      </c>
      <c r="K7" s="8" t="s">
        <v>13</v>
      </c>
      <c r="L7" s="2"/>
    </row>
    <row r="8" spans="2:12" ht="16.5" thickBot="1" x14ac:dyDescent="0.3">
      <c r="B8" s="255" t="s">
        <v>14</v>
      </c>
      <c r="C8" s="256"/>
      <c r="D8" s="256"/>
      <c r="E8" s="256"/>
      <c r="F8" s="256"/>
      <c r="G8" s="256"/>
      <c r="H8" s="256"/>
      <c r="I8" s="256"/>
      <c r="J8" s="256"/>
      <c r="K8" s="257"/>
      <c r="L8" s="2"/>
    </row>
    <row r="9" spans="2:12" ht="35.25" customHeight="1" x14ac:dyDescent="0.25">
      <c r="B9" s="219" t="s">
        <v>15</v>
      </c>
      <c r="C9" s="258" t="s">
        <v>16</v>
      </c>
      <c r="D9" s="160" t="s">
        <v>17</v>
      </c>
      <c r="E9" s="155">
        <f>13830581/1000</f>
        <v>13830.581</v>
      </c>
      <c r="F9" s="155">
        <f>H9+H10+H11+H12+H13</f>
        <v>6624.1146499999995</v>
      </c>
      <c r="G9" s="9" t="s">
        <v>18</v>
      </c>
      <c r="H9" s="10">
        <v>2852.6123400000001</v>
      </c>
      <c r="I9" s="155">
        <f>K9+K11+K12</f>
        <v>11780.896110000001</v>
      </c>
      <c r="J9" s="155" t="s">
        <v>19</v>
      </c>
      <c r="K9" s="238">
        <v>4125.7319399999997</v>
      </c>
      <c r="L9" s="2"/>
    </row>
    <row r="10" spans="2:12" ht="34.5" customHeight="1" x14ac:dyDescent="0.25">
      <c r="B10" s="220"/>
      <c r="C10" s="194"/>
      <c r="D10" s="161"/>
      <c r="E10" s="169"/>
      <c r="F10" s="169"/>
      <c r="G10" s="11" t="s">
        <v>20</v>
      </c>
      <c r="H10" s="12">
        <v>500</v>
      </c>
      <c r="I10" s="169"/>
      <c r="J10" s="156"/>
      <c r="K10" s="199"/>
      <c r="L10" s="2"/>
    </row>
    <row r="11" spans="2:12" ht="46.5" customHeight="1" x14ac:dyDescent="0.25">
      <c r="B11" s="220"/>
      <c r="C11" s="194"/>
      <c r="D11" s="161"/>
      <c r="E11" s="169"/>
      <c r="F11" s="169"/>
      <c r="G11" s="13" t="s">
        <v>21</v>
      </c>
      <c r="H11" s="14">
        <v>500</v>
      </c>
      <c r="I11" s="169"/>
      <c r="J11" s="15" t="s">
        <v>22</v>
      </c>
      <c r="K11" s="16">
        <v>1228.6396</v>
      </c>
      <c r="L11" s="2"/>
    </row>
    <row r="12" spans="2:12" ht="46.5" customHeight="1" x14ac:dyDescent="0.25">
      <c r="B12" s="220"/>
      <c r="C12" s="194"/>
      <c r="D12" s="161"/>
      <c r="E12" s="169"/>
      <c r="F12" s="169"/>
      <c r="G12" s="13" t="s">
        <v>23</v>
      </c>
      <c r="H12" s="14">
        <v>228.6396</v>
      </c>
      <c r="I12" s="169"/>
      <c r="J12" s="12" t="s">
        <v>24</v>
      </c>
      <c r="K12" s="17">
        <f>6426524.57/1000</f>
        <v>6426.5245700000005</v>
      </c>
      <c r="L12" s="2"/>
    </row>
    <row r="13" spans="2:12" ht="31.5" customHeight="1" x14ac:dyDescent="0.25">
      <c r="B13" s="220"/>
      <c r="C13" s="188"/>
      <c r="D13" s="165"/>
      <c r="E13" s="156"/>
      <c r="F13" s="156"/>
      <c r="G13" s="13" t="s">
        <v>25</v>
      </c>
      <c r="H13" s="14">
        <v>2542.8627099999999</v>
      </c>
      <c r="I13" s="156"/>
      <c r="J13" s="13" t="s">
        <v>26</v>
      </c>
      <c r="K13" s="18" t="s">
        <v>26</v>
      </c>
      <c r="L13" s="2"/>
    </row>
    <row r="14" spans="2:12" ht="52.5" customHeight="1" x14ac:dyDescent="0.25">
      <c r="B14" s="220"/>
      <c r="C14" s="183" t="s">
        <v>27</v>
      </c>
      <c r="D14" s="153" t="s">
        <v>28</v>
      </c>
      <c r="E14" s="168" t="s">
        <v>29</v>
      </c>
      <c r="F14" s="168">
        <f>H14+H15+H16+H17+H18+H19</f>
        <v>2592.8225400000001</v>
      </c>
      <c r="G14" s="13" t="s">
        <v>30</v>
      </c>
      <c r="H14" s="14">
        <v>432.13709</v>
      </c>
      <c r="I14" s="168">
        <f>K14+K15+K16+K17+K18+K19+K20</f>
        <v>2721.4585400000001</v>
      </c>
      <c r="J14" s="14" t="s">
        <v>31</v>
      </c>
      <c r="K14" s="19">
        <v>432.13709</v>
      </c>
      <c r="L14" s="2"/>
    </row>
    <row r="15" spans="2:12" ht="50.25" customHeight="1" x14ac:dyDescent="0.25">
      <c r="B15" s="220"/>
      <c r="C15" s="183"/>
      <c r="D15" s="166"/>
      <c r="E15" s="169"/>
      <c r="F15" s="169"/>
      <c r="G15" s="13" t="s">
        <v>32</v>
      </c>
      <c r="H15" s="14">
        <v>432.13709</v>
      </c>
      <c r="I15" s="169"/>
      <c r="J15" s="14" t="s">
        <v>33</v>
      </c>
      <c r="K15" s="19">
        <v>432.13709</v>
      </c>
      <c r="L15" s="2"/>
    </row>
    <row r="16" spans="2:12" ht="50.25" customHeight="1" x14ac:dyDescent="0.25">
      <c r="B16" s="220"/>
      <c r="C16" s="183"/>
      <c r="D16" s="166"/>
      <c r="E16" s="169"/>
      <c r="F16" s="169"/>
      <c r="G16" s="13" t="s">
        <v>34</v>
      </c>
      <c r="H16" s="14">
        <f>432137.09/1000</f>
        <v>432.13709</v>
      </c>
      <c r="I16" s="169"/>
      <c r="J16" s="14" t="s">
        <v>35</v>
      </c>
      <c r="K16" s="19">
        <v>432.13709</v>
      </c>
      <c r="L16" s="2"/>
    </row>
    <row r="17" spans="2:12" ht="50.25" customHeight="1" x14ac:dyDescent="0.25">
      <c r="B17" s="220"/>
      <c r="C17" s="183"/>
      <c r="D17" s="166"/>
      <c r="E17" s="169"/>
      <c r="F17" s="169"/>
      <c r="G17" s="13" t="s">
        <v>36</v>
      </c>
      <c r="H17" s="14">
        <f>432137.09/1000</f>
        <v>432.13709</v>
      </c>
      <c r="I17" s="169"/>
      <c r="J17" s="14" t="s">
        <v>37</v>
      </c>
      <c r="K17" s="19">
        <v>432.13709</v>
      </c>
      <c r="L17" s="2"/>
    </row>
    <row r="18" spans="2:12" ht="50.25" customHeight="1" x14ac:dyDescent="0.25">
      <c r="B18" s="220"/>
      <c r="C18" s="183"/>
      <c r="D18" s="166"/>
      <c r="E18" s="169"/>
      <c r="F18" s="169"/>
      <c r="G18" s="11" t="s">
        <v>38</v>
      </c>
      <c r="H18" s="20">
        <f>432137.09/1000</f>
        <v>432.13709</v>
      </c>
      <c r="I18" s="169"/>
      <c r="J18" s="14" t="s">
        <v>39</v>
      </c>
      <c r="K18" s="19">
        <v>432.13709</v>
      </c>
      <c r="L18" s="2"/>
    </row>
    <row r="19" spans="2:12" ht="50.25" customHeight="1" x14ac:dyDescent="0.25">
      <c r="B19" s="220"/>
      <c r="C19" s="183"/>
      <c r="D19" s="166"/>
      <c r="E19" s="169"/>
      <c r="F19" s="169"/>
      <c r="G19" s="11" t="s">
        <v>40</v>
      </c>
      <c r="H19" s="20">
        <f>432137.09/1000</f>
        <v>432.13709</v>
      </c>
      <c r="I19" s="169"/>
      <c r="J19" s="14" t="s">
        <v>41</v>
      </c>
      <c r="K19" s="19">
        <v>432.13709</v>
      </c>
      <c r="L19" s="2"/>
    </row>
    <row r="20" spans="2:12" ht="50.25" customHeight="1" x14ac:dyDescent="0.25">
      <c r="B20" s="220"/>
      <c r="C20" s="183"/>
      <c r="D20" s="166"/>
      <c r="E20" s="169"/>
      <c r="F20" s="169"/>
      <c r="G20" s="13" t="s">
        <v>26</v>
      </c>
      <c r="H20" s="13" t="s">
        <v>26</v>
      </c>
      <c r="I20" s="169"/>
      <c r="J20" s="14" t="s">
        <v>42</v>
      </c>
      <c r="K20" s="19">
        <f>128636/1000</f>
        <v>128.636</v>
      </c>
      <c r="L20" s="2"/>
    </row>
    <row r="21" spans="2:12" ht="50.25" customHeight="1" x14ac:dyDescent="0.25">
      <c r="B21" s="220"/>
      <c r="C21" s="11" t="s">
        <v>43</v>
      </c>
      <c r="D21" s="11" t="s">
        <v>44</v>
      </c>
      <c r="E21" s="11" t="s">
        <v>26</v>
      </c>
      <c r="F21" s="14">
        <f>H21</f>
        <v>6155</v>
      </c>
      <c r="G21" s="12" t="s">
        <v>45</v>
      </c>
      <c r="H21" s="12">
        <f>6155000/1000</f>
        <v>6155</v>
      </c>
      <c r="I21" s="21">
        <f t="shared" ref="I21:I41" si="0">K21</f>
        <v>6155</v>
      </c>
      <c r="J21" s="14" t="s">
        <v>46</v>
      </c>
      <c r="K21" s="19">
        <f>6155000/1000</f>
        <v>6155</v>
      </c>
      <c r="L21" s="2"/>
    </row>
    <row r="22" spans="2:12" ht="50.25" customHeight="1" x14ac:dyDescent="0.25">
      <c r="B22" s="220"/>
      <c r="C22" s="11" t="s">
        <v>47</v>
      </c>
      <c r="D22" s="22" t="s">
        <v>48</v>
      </c>
      <c r="E22" s="14">
        <f>22690000/1000</f>
        <v>22690</v>
      </c>
      <c r="F22" s="13" t="str">
        <f>H22</f>
        <v>__</v>
      </c>
      <c r="G22" s="13" t="s">
        <v>26</v>
      </c>
      <c r="H22" s="13" t="s">
        <v>26</v>
      </c>
      <c r="I22" s="21">
        <f>K22</f>
        <v>12562.21089</v>
      </c>
      <c r="J22" s="12" t="s">
        <v>49</v>
      </c>
      <c r="K22" s="17">
        <f>12562210.89/1000</f>
        <v>12562.21089</v>
      </c>
      <c r="L22" s="2"/>
    </row>
    <row r="23" spans="2:12" ht="32.25" customHeight="1" x14ac:dyDescent="0.25">
      <c r="B23" s="220"/>
      <c r="C23" s="194" t="s">
        <v>50</v>
      </c>
      <c r="D23" s="166"/>
      <c r="E23" s="13" t="s">
        <v>26</v>
      </c>
      <c r="F23" s="14">
        <f t="shared" ref="F23:F25" si="1">H23</f>
        <v>17.418150000000001</v>
      </c>
      <c r="G23" s="13" t="s">
        <v>26</v>
      </c>
      <c r="H23" s="14">
        <v>17.418150000000001</v>
      </c>
      <c r="I23" s="14">
        <f t="shared" si="0"/>
        <v>62.795020000000001</v>
      </c>
      <c r="J23" s="13" t="s">
        <v>26</v>
      </c>
      <c r="K23" s="19">
        <v>62.795020000000001</v>
      </c>
      <c r="L23" s="2"/>
    </row>
    <row r="24" spans="2:12" ht="33" customHeight="1" x14ac:dyDescent="0.25">
      <c r="B24" s="220"/>
      <c r="C24" s="152" t="s">
        <v>51</v>
      </c>
      <c r="D24" s="153"/>
      <c r="E24" s="23" t="s">
        <v>26</v>
      </c>
      <c r="F24" s="12">
        <f t="shared" si="1"/>
        <v>77.194450000000003</v>
      </c>
      <c r="G24" s="11" t="s">
        <v>26</v>
      </c>
      <c r="H24" s="12">
        <v>77.194450000000003</v>
      </c>
      <c r="I24" s="12">
        <f t="shared" si="0"/>
        <v>87.906999999999996</v>
      </c>
      <c r="J24" s="11" t="s">
        <v>26</v>
      </c>
      <c r="K24" s="17">
        <v>87.906999999999996</v>
      </c>
      <c r="L24" s="2"/>
    </row>
    <row r="25" spans="2:12" ht="34.5" customHeight="1" x14ac:dyDescent="0.25">
      <c r="B25" s="220"/>
      <c r="C25" s="179" t="s">
        <v>52</v>
      </c>
      <c r="D25" s="180"/>
      <c r="E25" s="11" t="s">
        <v>26</v>
      </c>
      <c r="F25" s="12">
        <f t="shared" si="1"/>
        <v>91.354770000000002</v>
      </c>
      <c r="G25" s="11" t="s">
        <v>26</v>
      </c>
      <c r="H25" s="12">
        <f>91354.77/1000</f>
        <v>91.354770000000002</v>
      </c>
      <c r="I25" s="12">
        <f t="shared" si="0"/>
        <v>86.763940000000005</v>
      </c>
      <c r="J25" s="11" t="s">
        <v>26</v>
      </c>
      <c r="K25" s="17">
        <v>86.763940000000005</v>
      </c>
      <c r="L25" s="2"/>
    </row>
    <row r="26" spans="2:12" ht="34.5" customHeight="1" x14ac:dyDescent="0.25">
      <c r="B26" s="220"/>
      <c r="C26" s="152" t="s">
        <v>53</v>
      </c>
      <c r="D26" s="153"/>
      <c r="E26" s="11" t="s">
        <v>26</v>
      </c>
      <c r="F26" s="12">
        <f>H26</f>
        <v>94.766310000000004</v>
      </c>
      <c r="G26" s="11" t="s">
        <v>26</v>
      </c>
      <c r="H26" s="12">
        <v>94.766310000000004</v>
      </c>
      <c r="I26" s="12">
        <f t="shared" si="0"/>
        <v>85.605670000000003</v>
      </c>
      <c r="J26" s="11" t="s">
        <v>26</v>
      </c>
      <c r="K26" s="17">
        <v>85.605670000000003</v>
      </c>
      <c r="L26" s="2"/>
    </row>
    <row r="27" spans="2:12" ht="34.5" customHeight="1" x14ac:dyDescent="0.25">
      <c r="B27" s="220"/>
      <c r="C27" s="152" t="s">
        <v>54</v>
      </c>
      <c r="D27" s="153"/>
      <c r="E27" s="11" t="s">
        <v>26</v>
      </c>
      <c r="F27" s="12">
        <f>H27</f>
        <v>103.11338000000001</v>
      </c>
      <c r="G27" s="11" t="s">
        <v>26</v>
      </c>
      <c r="H27" s="12">
        <v>103.11338000000001</v>
      </c>
      <c r="I27" s="12">
        <f t="shared" si="0"/>
        <v>83.858639999999994</v>
      </c>
      <c r="J27" s="11" t="s">
        <v>26</v>
      </c>
      <c r="K27" s="17">
        <v>83.858639999999994</v>
      </c>
      <c r="L27" s="2"/>
    </row>
    <row r="28" spans="2:12" ht="34.5" customHeight="1" x14ac:dyDescent="0.25">
      <c r="B28" s="220"/>
      <c r="C28" s="152" t="s">
        <v>55</v>
      </c>
      <c r="D28" s="153"/>
      <c r="E28" s="11" t="s">
        <v>26</v>
      </c>
      <c r="F28" s="12">
        <f>H28</f>
        <v>66.751069999999999</v>
      </c>
      <c r="G28" s="11" t="s">
        <v>26</v>
      </c>
      <c r="H28" s="12">
        <v>66.751069999999999</v>
      </c>
      <c r="I28" s="12">
        <f t="shared" si="0"/>
        <v>82.650199999999998</v>
      </c>
      <c r="J28" s="11" t="s">
        <v>26</v>
      </c>
      <c r="K28" s="17">
        <v>82.650199999999998</v>
      </c>
      <c r="L28" s="2"/>
    </row>
    <row r="29" spans="2:12" ht="43.5" customHeight="1" x14ac:dyDescent="0.25">
      <c r="B29" s="220"/>
      <c r="C29" s="152" t="s">
        <v>56</v>
      </c>
      <c r="D29" s="153"/>
      <c r="E29" s="11" t="s">
        <v>26</v>
      </c>
      <c r="F29" s="12">
        <f>H29</f>
        <v>86.2084586</v>
      </c>
      <c r="G29" s="11" t="s">
        <v>26</v>
      </c>
      <c r="H29" s="12">
        <f>86208.4586/1000</f>
        <v>86.2084586</v>
      </c>
      <c r="I29" s="12">
        <f t="shared" si="0"/>
        <v>180.83748</v>
      </c>
      <c r="J29" s="11" t="s">
        <v>26</v>
      </c>
      <c r="K29" s="17">
        <f>109.1147+71.72278</f>
        <v>180.83748</v>
      </c>
      <c r="L29" s="2"/>
    </row>
    <row r="30" spans="2:12" ht="49.5" customHeight="1" x14ac:dyDescent="0.25">
      <c r="B30" s="220"/>
      <c r="C30" s="152" t="s">
        <v>57</v>
      </c>
      <c r="D30" s="153"/>
      <c r="E30" s="11" t="s">
        <v>26</v>
      </c>
      <c r="F30" s="12">
        <f t="shared" ref="F30:F39" si="2">H30</f>
        <v>110.3485</v>
      </c>
      <c r="G30" s="11" t="s">
        <v>26</v>
      </c>
      <c r="H30" s="12">
        <f>110348.5/1000</f>
        <v>110.3485</v>
      </c>
      <c r="I30" s="12">
        <f t="shared" si="0"/>
        <v>103.53840000000001</v>
      </c>
      <c r="J30" s="11" t="s">
        <v>26</v>
      </c>
      <c r="K30" s="17">
        <f>(95040.74+8497.66)/1000</f>
        <v>103.53840000000001</v>
      </c>
      <c r="L30" s="2"/>
    </row>
    <row r="31" spans="2:12" ht="57.75" customHeight="1" x14ac:dyDescent="0.25">
      <c r="B31" s="220"/>
      <c r="C31" s="152" t="s">
        <v>58</v>
      </c>
      <c r="D31" s="153"/>
      <c r="E31" s="11" t="s">
        <v>26</v>
      </c>
      <c r="F31" s="12">
        <f t="shared" si="2"/>
        <v>83.873530000000002</v>
      </c>
      <c r="G31" s="11" t="s">
        <v>26</v>
      </c>
      <c r="H31" s="12">
        <f>83873.53/1000</f>
        <v>83.873530000000002</v>
      </c>
      <c r="I31" s="12">
        <f t="shared" si="0"/>
        <v>73.297599999999989</v>
      </c>
      <c r="J31" s="11" t="s">
        <v>26</v>
      </c>
      <c r="K31" s="17">
        <f>(67796.26+5501.34)/1000</f>
        <v>73.297599999999989</v>
      </c>
      <c r="L31" s="2"/>
    </row>
    <row r="32" spans="2:12" ht="53.25" customHeight="1" x14ac:dyDescent="0.25">
      <c r="B32" s="220"/>
      <c r="C32" s="183" t="s">
        <v>59</v>
      </c>
      <c r="D32" s="183"/>
      <c r="E32" s="11" t="s">
        <v>26</v>
      </c>
      <c r="F32" s="12">
        <f t="shared" si="2"/>
        <v>63.886330000000001</v>
      </c>
      <c r="G32" s="11" t="s">
        <v>26</v>
      </c>
      <c r="H32" s="12">
        <f>63886.33/1000</f>
        <v>63.886330000000001</v>
      </c>
      <c r="I32" s="20">
        <f t="shared" si="0"/>
        <v>57.085590000000003</v>
      </c>
      <c r="J32" s="11" t="s">
        <v>26</v>
      </c>
      <c r="K32" s="24">
        <f>(53036.97+4048.62)/1000</f>
        <v>57.085590000000003</v>
      </c>
      <c r="L32" s="2"/>
    </row>
    <row r="33" spans="2:12" ht="53.25" customHeight="1" x14ac:dyDescent="0.25">
      <c r="B33" s="220"/>
      <c r="C33" s="179" t="s">
        <v>60</v>
      </c>
      <c r="D33" s="180"/>
      <c r="E33" s="11" t="s">
        <v>26</v>
      </c>
      <c r="F33" s="12">
        <f t="shared" si="2"/>
        <v>52.963250000000002</v>
      </c>
      <c r="G33" s="11" t="s">
        <v>26</v>
      </c>
      <c r="H33" s="12">
        <f>52963.25/1000</f>
        <v>52.963250000000002</v>
      </c>
      <c r="I33" s="20">
        <f t="shared" si="0"/>
        <v>65.382260000000002</v>
      </c>
      <c r="J33" s="11" t="s">
        <v>26</v>
      </c>
      <c r="K33" s="24">
        <f>(60880.91+4501.35)/1000</f>
        <v>65.382260000000002</v>
      </c>
      <c r="L33" s="2"/>
    </row>
    <row r="34" spans="2:12" ht="53.25" customHeight="1" x14ac:dyDescent="0.25">
      <c r="B34" s="220"/>
      <c r="C34" s="179" t="s">
        <v>61</v>
      </c>
      <c r="D34" s="180"/>
      <c r="E34" s="11" t="s">
        <v>26</v>
      </c>
      <c r="F34" s="12">
        <f t="shared" si="2"/>
        <v>68.476247828983702</v>
      </c>
      <c r="G34" s="11" t="s">
        <v>26</v>
      </c>
      <c r="H34" s="12">
        <f>68476.2478289837/1000</f>
        <v>68.476247828983702</v>
      </c>
      <c r="I34" s="20">
        <f t="shared" si="0"/>
        <v>88.05613000000001</v>
      </c>
      <c r="J34" s="11" t="s">
        <v>26</v>
      </c>
      <c r="K34" s="24">
        <f>88056.13/1000</f>
        <v>88.05613000000001</v>
      </c>
      <c r="L34" s="2"/>
    </row>
    <row r="35" spans="2:12" ht="53.25" customHeight="1" x14ac:dyDescent="0.25">
      <c r="B35" s="220"/>
      <c r="C35" s="179" t="s">
        <v>62</v>
      </c>
      <c r="D35" s="180"/>
      <c r="E35" s="11" t="s">
        <v>26</v>
      </c>
      <c r="F35" s="12">
        <f t="shared" si="2"/>
        <v>0</v>
      </c>
      <c r="G35" s="11" t="s">
        <v>26</v>
      </c>
      <c r="H35" s="12">
        <v>0</v>
      </c>
      <c r="I35" s="20">
        <f t="shared" si="0"/>
        <v>-94.271749999999997</v>
      </c>
      <c r="J35" s="11" t="s">
        <v>26</v>
      </c>
      <c r="K35" s="24">
        <f>-94271.75/1000</f>
        <v>-94.271749999999997</v>
      </c>
      <c r="L35" s="2"/>
    </row>
    <row r="36" spans="2:12" ht="34.5" customHeight="1" x14ac:dyDescent="0.25">
      <c r="B36" s="220"/>
      <c r="C36" s="188" t="s">
        <v>63</v>
      </c>
      <c r="D36" s="167"/>
      <c r="E36" s="13" t="s">
        <v>26</v>
      </c>
      <c r="F36" s="14">
        <f t="shared" si="2"/>
        <v>74.950117328102905</v>
      </c>
      <c r="G36" s="13" t="s">
        <v>26</v>
      </c>
      <c r="H36" s="14">
        <v>74.950117328102905</v>
      </c>
      <c r="I36" s="14">
        <f t="shared" si="0"/>
        <v>74.950119999999998</v>
      </c>
      <c r="J36" s="13" t="s">
        <v>26</v>
      </c>
      <c r="K36" s="25">
        <v>74.950119999999998</v>
      </c>
      <c r="L36" s="2"/>
    </row>
    <row r="37" spans="2:12" ht="34.5" customHeight="1" x14ac:dyDescent="0.25">
      <c r="B37" s="220"/>
      <c r="C37" s="179" t="s">
        <v>64</v>
      </c>
      <c r="D37" s="180"/>
      <c r="E37" s="11" t="s">
        <v>26</v>
      </c>
      <c r="F37" s="12">
        <f t="shared" si="2"/>
        <v>75.203766999999999</v>
      </c>
      <c r="G37" s="11" t="s">
        <v>26</v>
      </c>
      <c r="H37" s="14">
        <v>75.203766999999999</v>
      </c>
      <c r="I37" s="12">
        <f t="shared" si="0"/>
        <v>75.203766999999999</v>
      </c>
      <c r="J37" s="11" t="s">
        <v>26</v>
      </c>
      <c r="K37" s="24">
        <v>75.203766999999999</v>
      </c>
      <c r="L37" s="2"/>
    </row>
    <row r="38" spans="2:12" ht="34.5" customHeight="1" x14ac:dyDescent="0.25">
      <c r="B38" s="220"/>
      <c r="C38" s="179" t="s">
        <v>65</v>
      </c>
      <c r="D38" s="180"/>
      <c r="E38" s="11" t="s">
        <v>26</v>
      </c>
      <c r="F38" s="12">
        <f t="shared" si="2"/>
        <v>37.930939250000002</v>
      </c>
      <c r="G38" s="11" t="s">
        <v>26</v>
      </c>
      <c r="H38" s="14">
        <v>37.930939250000002</v>
      </c>
      <c r="I38" s="12">
        <f t="shared" si="0"/>
        <v>37.930939250000002</v>
      </c>
      <c r="J38" s="11" t="s">
        <v>26</v>
      </c>
      <c r="K38" s="19">
        <v>37.930939250000002</v>
      </c>
      <c r="L38" s="2"/>
    </row>
    <row r="39" spans="2:12" ht="34.5" customHeight="1" x14ac:dyDescent="0.25">
      <c r="B39" s="220"/>
      <c r="C39" s="179" t="s">
        <v>66</v>
      </c>
      <c r="D39" s="180"/>
      <c r="E39" s="11" t="s">
        <v>26</v>
      </c>
      <c r="F39" s="12">
        <f t="shared" si="2"/>
        <v>38.27901</v>
      </c>
      <c r="G39" s="11" t="s">
        <v>26</v>
      </c>
      <c r="H39" s="14">
        <f>38279.01/1000</f>
        <v>38.27901</v>
      </c>
      <c r="I39" s="12">
        <f t="shared" si="0"/>
        <v>38.27901</v>
      </c>
      <c r="J39" s="11" t="s">
        <v>26</v>
      </c>
      <c r="K39" s="19">
        <f>38279.01/1000</f>
        <v>38.27901</v>
      </c>
      <c r="L39" s="2"/>
    </row>
    <row r="40" spans="2:12" ht="33.75" customHeight="1" x14ac:dyDescent="0.25">
      <c r="B40" s="220"/>
      <c r="C40" s="164" t="s">
        <v>67</v>
      </c>
      <c r="D40" s="164"/>
      <c r="E40" s="23" t="s">
        <v>26</v>
      </c>
      <c r="F40" s="26">
        <f>H40</f>
        <v>558.90935000000002</v>
      </c>
      <c r="G40" s="23" t="s">
        <v>26</v>
      </c>
      <c r="H40" s="26">
        <f>558909.35/1000</f>
        <v>558.90935000000002</v>
      </c>
      <c r="I40" s="27">
        <f t="shared" si="0"/>
        <v>558.90935000000002</v>
      </c>
      <c r="J40" s="23" t="s">
        <v>26</v>
      </c>
      <c r="K40" s="28">
        <f>H40</f>
        <v>558.90935000000002</v>
      </c>
      <c r="L40" s="2"/>
    </row>
    <row r="41" spans="2:12" ht="33.75" customHeight="1" thickBot="1" x14ac:dyDescent="0.3">
      <c r="B41" s="228"/>
      <c r="C41" s="215" t="s">
        <v>68</v>
      </c>
      <c r="D41" s="215"/>
      <c r="E41" s="29" t="s">
        <v>26</v>
      </c>
      <c r="F41" s="30">
        <f>H41</f>
        <v>1650.1364927755201</v>
      </c>
      <c r="G41" s="29" t="s">
        <v>26</v>
      </c>
      <c r="H41" s="30">
        <f>1650136.49277552/1000</f>
        <v>1650.1364927755201</v>
      </c>
      <c r="I41" s="31">
        <f t="shared" si="0"/>
        <v>1650.1364927755201</v>
      </c>
      <c r="J41" s="29" t="s">
        <v>26</v>
      </c>
      <c r="K41" s="32">
        <f>H41</f>
        <v>1650.1364927755201</v>
      </c>
      <c r="L41" s="2"/>
    </row>
    <row r="42" spans="2:12" ht="16.5" thickBot="1" x14ac:dyDescent="0.3">
      <c r="B42" s="205"/>
      <c r="C42" s="206"/>
      <c r="D42" s="206"/>
      <c r="E42" s="206"/>
      <c r="F42" s="206"/>
      <c r="G42" s="206"/>
      <c r="H42" s="206"/>
      <c r="I42" s="206"/>
      <c r="J42" s="206"/>
      <c r="K42" s="207"/>
      <c r="L42" s="2"/>
    </row>
    <row r="43" spans="2:12" ht="67.5" customHeight="1" thickBot="1" x14ac:dyDescent="0.3">
      <c r="B43" s="33" t="s">
        <v>69</v>
      </c>
      <c r="C43" s="188" t="s">
        <v>70</v>
      </c>
      <c r="D43" s="167"/>
      <c r="E43" s="14" t="s">
        <v>26</v>
      </c>
      <c r="F43" s="14">
        <f>H43</f>
        <v>-17.603740000000002</v>
      </c>
      <c r="G43" s="14" t="s">
        <v>26</v>
      </c>
      <c r="H43" s="14">
        <v>-17.603740000000002</v>
      </c>
      <c r="I43" s="14" t="s">
        <v>26</v>
      </c>
      <c r="J43" s="14" t="s">
        <v>26</v>
      </c>
      <c r="K43" s="19" t="s">
        <v>26</v>
      </c>
      <c r="L43" s="2"/>
    </row>
    <row r="44" spans="2:12" ht="16.5" thickBot="1" x14ac:dyDescent="0.3">
      <c r="B44" s="205"/>
      <c r="C44" s="206"/>
      <c r="D44" s="206"/>
      <c r="E44" s="206"/>
      <c r="F44" s="206"/>
      <c r="G44" s="206"/>
      <c r="H44" s="206"/>
      <c r="I44" s="206"/>
      <c r="J44" s="206"/>
      <c r="K44" s="207"/>
      <c r="L44" s="2"/>
    </row>
    <row r="45" spans="2:12" ht="45" x14ac:dyDescent="0.25">
      <c r="B45" s="150" t="s">
        <v>71</v>
      </c>
      <c r="C45" s="34" t="s">
        <v>72</v>
      </c>
      <c r="D45" s="34" t="s">
        <v>73</v>
      </c>
      <c r="E45" s="35">
        <v>483.904</v>
      </c>
      <c r="F45" s="35" t="s">
        <v>26</v>
      </c>
      <c r="G45" s="34" t="s">
        <v>26</v>
      </c>
      <c r="H45" s="35" t="s">
        <v>26</v>
      </c>
      <c r="I45" s="35">
        <f>K45</f>
        <v>483.904</v>
      </c>
      <c r="J45" s="35" t="s">
        <v>74</v>
      </c>
      <c r="K45" s="36">
        <v>483.904</v>
      </c>
      <c r="L45" s="2"/>
    </row>
    <row r="46" spans="2:12" ht="35.25" customHeight="1" thickBot="1" x14ac:dyDescent="0.3">
      <c r="B46" s="151"/>
      <c r="C46" s="189" t="s">
        <v>50</v>
      </c>
      <c r="D46" s="190"/>
      <c r="E46" s="37" t="s">
        <v>26</v>
      </c>
      <c r="F46" s="14">
        <f>H46</f>
        <v>130.19999000000001</v>
      </c>
      <c r="G46" s="13" t="s">
        <v>26</v>
      </c>
      <c r="H46" s="14">
        <v>130.19999000000001</v>
      </c>
      <c r="I46" s="14" t="s">
        <v>26</v>
      </c>
      <c r="J46" s="14" t="s">
        <v>26</v>
      </c>
      <c r="K46" s="19" t="s">
        <v>26</v>
      </c>
      <c r="L46" s="2"/>
    </row>
    <row r="47" spans="2:12" ht="45" x14ac:dyDescent="0.25">
      <c r="B47" s="150" t="s">
        <v>75</v>
      </c>
      <c r="C47" s="9" t="s">
        <v>72</v>
      </c>
      <c r="D47" s="9" t="s">
        <v>76</v>
      </c>
      <c r="E47" s="10">
        <v>13288.174000000001</v>
      </c>
      <c r="F47" s="10">
        <f t="shared" ref="F47" si="3">H47</f>
        <v>3986.4522000000002</v>
      </c>
      <c r="G47" s="9" t="s">
        <v>77</v>
      </c>
      <c r="H47" s="10">
        <v>3986.4522000000002</v>
      </c>
      <c r="I47" s="35">
        <f>K47</f>
        <v>13288.174003799999</v>
      </c>
      <c r="J47" s="35" t="s">
        <v>78</v>
      </c>
      <c r="K47" s="36">
        <v>13288.174003799999</v>
      </c>
      <c r="L47" s="2"/>
    </row>
    <row r="48" spans="2:12" ht="45" x14ac:dyDescent="0.25">
      <c r="B48" s="163"/>
      <c r="C48" s="11" t="s">
        <v>43</v>
      </c>
      <c r="D48" s="11" t="s">
        <v>44</v>
      </c>
      <c r="E48" s="12" t="s">
        <v>26</v>
      </c>
      <c r="F48" s="12" t="s">
        <v>26</v>
      </c>
      <c r="G48" s="12" t="s">
        <v>26</v>
      </c>
      <c r="H48" s="12" t="s">
        <v>26</v>
      </c>
      <c r="I48" s="12">
        <f>K48</f>
        <v>1428.478736</v>
      </c>
      <c r="J48" s="12" t="s">
        <v>79</v>
      </c>
      <c r="K48" s="17">
        <v>1428.478736</v>
      </c>
      <c r="L48" s="2"/>
    </row>
    <row r="49" spans="2:12" ht="53.25" customHeight="1" thickBot="1" x14ac:dyDescent="0.3">
      <c r="B49" s="151"/>
      <c r="C49" s="181" t="s">
        <v>61</v>
      </c>
      <c r="D49" s="182"/>
      <c r="E49" s="38" t="s">
        <v>26</v>
      </c>
      <c r="F49" s="39">
        <f t="shared" ref="F49" si="4">H49</f>
        <v>161.73014999999998</v>
      </c>
      <c r="G49" s="38" t="s">
        <v>26</v>
      </c>
      <c r="H49" s="39">
        <f>K49</f>
        <v>161.73014999999998</v>
      </c>
      <c r="I49" s="40">
        <f t="shared" ref="I49" si="5">K49</f>
        <v>161.73014999999998</v>
      </c>
      <c r="J49" s="38" t="s">
        <v>26</v>
      </c>
      <c r="K49" s="41">
        <f>161730.15/1000</f>
        <v>161.73014999999998</v>
      </c>
      <c r="L49" s="2"/>
    </row>
    <row r="50" spans="2:12" ht="16.5" thickBot="1" x14ac:dyDescent="0.3">
      <c r="B50" s="202"/>
      <c r="C50" s="203"/>
      <c r="D50" s="203"/>
      <c r="E50" s="203"/>
      <c r="F50" s="203"/>
      <c r="G50" s="203"/>
      <c r="H50" s="203"/>
      <c r="I50" s="203"/>
      <c r="J50" s="203"/>
      <c r="K50" s="234"/>
      <c r="L50" s="2"/>
    </row>
    <row r="51" spans="2:12" ht="43.5" customHeight="1" x14ac:dyDescent="0.25">
      <c r="B51" s="150" t="s">
        <v>80</v>
      </c>
      <c r="C51" s="235" t="s">
        <v>50</v>
      </c>
      <c r="D51" s="236"/>
      <c r="E51" s="35" t="s">
        <v>26</v>
      </c>
      <c r="F51" s="35">
        <f t="shared" ref="F51:F67" si="6">H51</f>
        <v>133.96199999999999</v>
      </c>
      <c r="G51" s="34" t="s">
        <v>26</v>
      </c>
      <c r="H51" s="35">
        <v>133.96199999999999</v>
      </c>
      <c r="I51" s="35" t="s">
        <v>26</v>
      </c>
      <c r="J51" s="35" t="s">
        <v>26</v>
      </c>
      <c r="K51" s="19" t="s">
        <v>26</v>
      </c>
      <c r="L51" s="2"/>
    </row>
    <row r="52" spans="2:12" ht="45.75" customHeight="1" thickBot="1" x14ac:dyDescent="0.3">
      <c r="B52" s="163"/>
      <c r="C52" s="23" t="s">
        <v>81</v>
      </c>
      <c r="D52" s="42" t="s">
        <v>82</v>
      </c>
      <c r="E52" s="26">
        <f>143367.99/1000</f>
        <v>143.36798999999999</v>
      </c>
      <c r="F52" s="26">
        <f>H52</f>
        <v>143.36798999999999</v>
      </c>
      <c r="G52" s="13" t="s">
        <v>83</v>
      </c>
      <c r="H52" s="14">
        <f>143367.99/1000</f>
        <v>143.36798999999999</v>
      </c>
      <c r="I52" s="26"/>
      <c r="J52" s="14"/>
      <c r="K52" s="19"/>
      <c r="L52" s="2"/>
    </row>
    <row r="53" spans="2:12" ht="30" x14ac:dyDescent="0.25">
      <c r="B53" s="150" t="s">
        <v>84</v>
      </c>
      <c r="C53" s="9" t="s">
        <v>85</v>
      </c>
      <c r="D53" s="9" t="s">
        <v>86</v>
      </c>
      <c r="E53" s="35">
        <v>6335</v>
      </c>
      <c r="F53" s="35">
        <f t="shared" si="6"/>
        <v>6535</v>
      </c>
      <c r="G53" s="35" t="s">
        <v>87</v>
      </c>
      <c r="H53" s="35">
        <v>6535</v>
      </c>
      <c r="I53" s="43" t="s">
        <v>26</v>
      </c>
      <c r="J53" s="35" t="s">
        <v>26</v>
      </c>
      <c r="K53" s="44" t="s">
        <v>26</v>
      </c>
      <c r="L53" s="2"/>
    </row>
    <row r="54" spans="2:12" ht="39" customHeight="1" thickBot="1" x14ac:dyDescent="0.3">
      <c r="B54" s="151"/>
      <c r="C54" s="152" t="s">
        <v>88</v>
      </c>
      <c r="D54" s="153"/>
      <c r="E54" s="23" t="s">
        <v>26</v>
      </c>
      <c r="F54" s="26">
        <f t="shared" si="6"/>
        <v>125.657</v>
      </c>
      <c r="G54" s="26" t="s">
        <v>26</v>
      </c>
      <c r="H54" s="26">
        <v>125.657</v>
      </c>
      <c r="I54" s="26" t="s">
        <v>26</v>
      </c>
      <c r="J54" s="26" t="s">
        <v>26</v>
      </c>
      <c r="K54" s="28" t="s">
        <v>26</v>
      </c>
      <c r="L54" s="2"/>
    </row>
    <row r="55" spans="2:12" ht="90" x14ac:dyDescent="0.25">
      <c r="B55" s="45" t="s">
        <v>89</v>
      </c>
      <c r="C55" s="9" t="s">
        <v>90</v>
      </c>
      <c r="D55" s="9" t="s">
        <v>91</v>
      </c>
      <c r="E55" s="10">
        <v>249.49</v>
      </c>
      <c r="F55" s="10">
        <f t="shared" si="6"/>
        <v>249.49</v>
      </c>
      <c r="G55" s="10" t="s">
        <v>92</v>
      </c>
      <c r="H55" s="10">
        <v>249.49</v>
      </c>
      <c r="I55" s="10" t="s">
        <v>26</v>
      </c>
      <c r="J55" s="10" t="s">
        <v>26</v>
      </c>
      <c r="K55" s="46" t="s">
        <v>26</v>
      </c>
      <c r="L55" s="2"/>
    </row>
    <row r="56" spans="2:12" ht="44.25" customHeight="1" thickBot="1" x14ac:dyDescent="0.3">
      <c r="B56" s="47" t="s">
        <v>93</v>
      </c>
      <c r="C56" s="23" t="s">
        <v>90</v>
      </c>
      <c r="D56" s="23" t="s">
        <v>94</v>
      </c>
      <c r="E56" s="26">
        <v>299.39999999999998</v>
      </c>
      <c r="F56" s="26">
        <f t="shared" si="6"/>
        <v>299.39999999999998</v>
      </c>
      <c r="G56" s="26" t="s">
        <v>95</v>
      </c>
      <c r="H56" s="26">
        <v>299.39999999999998</v>
      </c>
      <c r="I56" s="30" t="s">
        <v>26</v>
      </c>
      <c r="J56" s="30" t="s">
        <v>26</v>
      </c>
      <c r="K56" s="32" t="s">
        <v>26</v>
      </c>
      <c r="L56" s="2"/>
    </row>
    <row r="57" spans="2:12" ht="44.25" customHeight="1" x14ac:dyDescent="0.25">
      <c r="B57" s="150" t="s">
        <v>96</v>
      </c>
      <c r="C57" s="160" t="s">
        <v>97</v>
      </c>
      <c r="D57" s="160" t="s">
        <v>98</v>
      </c>
      <c r="E57" s="155">
        <f>1200000/1000</f>
        <v>1200</v>
      </c>
      <c r="F57" s="155">
        <f>H57+H58</f>
        <v>1119.6182899999999</v>
      </c>
      <c r="G57" s="35" t="s">
        <v>99</v>
      </c>
      <c r="H57" s="48">
        <f>346445.97/1000</f>
        <v>346.44596999999999</v>
      </c>
      <c r="I57" s="232">
        <f>K57+K58</f>
        <v>1119.6182899999999</v>
      </c>
      <c r="J57" s="48" t="s">
        <v>100</v>
      </c>
      <c r="K57" s="44">
        <f>346445.97/1000</f>
        <v>346.44596999999999</v>
      </c>
      <c r="L57" s="2"/>
    </row>
    <row r="58" spans="2:12" ht="44.25" customHeight="1" x14ac:dyDescent="0.25">
      <c r="B58" s="163"/>
      <c r="C58" s="165"/>
      <c r="D58" s="165"/>
      <c r="E58" s="156"/>
      <c r="F58" s="156"/>
      <c r="G58" s="12" t="s">
        <v>99</v>
      </c>
      <c r="H58" s="20">
        <f>773172.32/1000</f>
        <v>773.1723199999999</v>
      </c>
      <c r="I58" s="200"/>
      <c r="J58" s="20" t="s">
        <v>101</v>
      </c>
      <c r="K58" s="24">
        <f>773172.32/1000</f>
        <v>773.1723199999999</v>
      </c>
      <c r="L58" s="2"/>
    </row>
    <row r="59" spans="2:12" ht="44.25" customHeight="1" x14ac:dyDescent="0.25">
      <c r="B59" s="163"/>
      <c r="C59" s="11" t="s">
        <v>43</v>
      </c>
      <c r="D59" s="11" t="s">
        <v>44</v>
      </c>
      <c r="E59" s="12" t="s">
        <v>26</v>
      </c>
      <c r="F59" s="12">
        <f t="shared" si="6"/>
        <v>66.102800000000002</v>
      </c>
      <c r="G59" s="12" t="s">
        <v>102</v>
      </c>
      <c r="H59" s="20">
        <v>66.102800000000002</v>
      </c>
      <c r="I59" s="20">
        <f t="shared" ref="I59:I67" si="7">K59</f>
        <v>66.102800000000002</v>
      </c>
      <c r="J59" s="12" t="s">
        <v>103</v>
      </c>
      <c r="K59" s="24">
        <v>66.102800000000002</v>
      </c>
      <c r="L59" s="2"/>
    </row>
    <row r="60" spans="2:12" ht="44.25" customHeight="1" x14ac:dyDescent="0.25">
      <c r="B60" s="163"/>
      <c r="C60" s="11" t="s">
        <v>43</v>
      </c>
      <c r="D60" s="11" t="s">
        <v>44</v>
      </c>
      <c r="E60" s="12" t="s">
        <v>26</v>
      </c>
      <c r="F60" s="49" t="str">
        <f t="shared" si="6"/>
        <v>__</v>
      </c>
      <c r="G60" s="12" t="s">
        <v>26</v>
      </c>
      <c r="H60" s="12" t="s">
        <v>26</v>
      </c>
      <c r="I60" s="20">
        <f t="shared" si="7"/>
        <v>-26.102803599999994</v>
      </c>
      <c r="J60" s="12" t="s">
        <v>104</v>
      </c>
      <c r="K60" s="24">
        <f>(16949.15*2-28009.66*2)*1.18/1000</f>
        <v>-26.102803599999994</v>
      </c>
      <c r="L60" s="2"/>
    </row>
    <row r="61" spans="2:12" ht="44.25" customHeight="1" x14ac:dyDescent="0.25">
      <c r="B61" s="163"/>
      <c r="C61" s="11" t="s">
        <v>43</v>
      </c>
      <c r="D61" s="11" t="s">
        <v>44</v>
      </c>
      <c r="E61" s="12" t="s">
        <v>26</v>
      </c>
      <c r="F61" s="12">
        <f t="shared" si="6"/>
        <v>40</v>
      </c>
      <c r="G61" s="12" t="s">
        <v>45</v>
      </c>
      <c r="H61" s="20">
        <f>20000*2/1000</f>
        <v>40</v>
      </c>
      <c r="I61" s="14" t="str">
        <f>K61</f>
        <v>__</v>
      </c>
      <c r="J61" s="12" t="s">
        <v>26</v>
      </c>
      <c r="K61" s="17" t="s">
        <v>26</v>
      </c>
      <c r="L61" s="2"/>
    </row>
    <row r="62" spans="2:12" ht="44.25" customHeight="1" x14ac:dyDescent="0.25">
      <c r="B62" s="163"/>
      <c r="C62" s="50" t="s">
        <v>105</v>
      </c>
      <c r="D62" s="12" t="s">
        <v>26</v>
      </c>
      <c r="E62" s="12" t="s">
        <v>26</v>
      </c>
      <c r="F62" s="12">
        <f t="shared" si="6"/>
        <v>8.4</v>
      </c>
      <c r="G62" s="12" t="s">
        <v>106</v>
      </c>
      <c r="H62" s="12">
        <f>8400/1000</f>
        <v>8.4</v>
      </c>
      <c r="I62" s="14" t="str">
        <f>K62</f>
        <v>__</v>
      </c>
      <c r="J62" s="12" t="s">
        <v>26</v>
      </c>
      <c r="K62" s="17" t="s">
        <v>26</v>
      </c>
      <c r="L62" s="2"/>
    </row>
    <row r="63" spans="2:12" ht="44.25" customHeight="1" x14ac:dyDescent="0.25">
      <c r="B63" s="163"/>
      <c r="C63" s="179" t="s">
        <v>64</v>
      </c>
      <c r="D63" s="180"/>
      <c r="E63" s="12" t="s">
        <v>26</v>
      </c>
      <c r="F63" s="12">
        <f t="shared" si="6"/>
        <v>5.7519999999999998</v>
      </c>
      <c r="G63" s="12" t="s">
        <v>26</v>
      </c>
      <c r="H63" s="12">
        <v>5.7519999999999998</v>
      </c>
      <c r="I63" s="12">
        <f t="shared" si="7"/>
        <v>5.7519999999999998</v>
      </c>
      <c r="J63" s="12" t="s">
        <v>26</v>
      </c>
      <c r="K63" s="24">
        <v>5.7519999999999998</v>
      </c>
      <c r="L63" s="2"/>
    </row>
    <row r="64" spans="2:12" ht="44.25" customHeight="1" x14ac:dyDescent="0.25">
      <c r="B64" s="163"/>
      <c r="C64" s="183" t="s">
        <v>67</v>
      </c>
      <c r="D64" s="183"/>
      <c r="E64" s="12" t="s">
        <v>26</v>
      </c>
      <c r="F64" s="12">
        <f t="shared" si="6"/>
        <v>-2.3217600000000003</v>
      </c>
      <c r="G64" s="11" t="s">
        <v>26</v>
      </c>
      <c r="H64" s="12">
        <f>(-1160.88-1160.88)/1000</f>
        <v>-2.3217600000000003</v>
      </c>
      <c r="I64" s="20">
        <f t="shared" si="7"/>
        <v>-2.3217600000000003</v>
      </c>
      <c r="J64" s="11" t="s">
        <v>26</v>
      </c>
      <c r="K64" s="24">
        <f>(-1160.88-1160.88)/1000</f>
        <v>-2.3217600000000003</v>
      </c>
      <c r="L64" s="2"/>
    </row>
    <row r="65" spans="2:12" ht="44.25" customHeight="1" x14ac:dyDescent="0.25">
      <c r="B65" s="237"/>
      <c r="C65" s="183" t="s">
        <v>107</v>
      </c>
      <c r="D65" s="183"/>
      <c r="E65" s="12" t="s">
        <v>26</v>
      </c>
      <c r="F65" s="12">
        <f t="shared" si="6"/>
        <v>98.37594</v>
      </c>
      <c r="G65" s="11" t="s">
        <v>26</v>
      </c>
      <c r="H65" s="12">
        <f>98375.94/1000</f>
        <v>98.37594</v>
      </c>
      <c r="I65" s="20">
        <f t="shared" si="7"/>
        <v>98.37594</v>
      </c>
      <c r="J65" s="11" t="s">
        <v>26</v>
      </c>
      <c r="K65" s="24">
        <f>H65</f>
        <v>98.37594</v>
      </c>
      <c r="L65" s="2"/>
    </row>
    <row r="66" spans="2:12" ht="44.25" customHeight="1" x14ac:dyDescent="0.25">
      <c r="B66" s="233" t="s">
        <v>108</v>
      </c>
      <c r="C66" s="11" t="s">
        <v>109</v>
      </c>
      <c r="D66" s="11" t="s">
        <v>110</v>
      </c>
      <c r="E66" s="20">
        <f>70000/1000</f>
        <v>70</v>
      </c>
      <c r="F66" s="12">
        <f t="shared" si="6"/>
        <v>70</v>
      </c>
      <c r="G66" s="11" t="s">
        <v>111</v>
      </c>
      <c r="H66" s="12">
        <f>70000/1000</f>
        <v>70</v>
      </c>
      <c r="I66" s="20">
        <f t="shared" si="7"/>
        <v>70</v>
      </c>
      <c r="J66" s="11" t="s">
        <v>112</v>
      </c>
      <c r="K66" s="24">
        <f>70000/1000</f>
        <v>70</v>
      </c>
      <c r="L66" s="2"/>
    </row>
    <row r="67" spans="2:12" ht="44.25" customHeight="1" thickBot="1" x14ac:dyDescent="0.3">
      <c r="B67" s="151"/>
      <c r="C67" s="162" t="s">
        <v>67</v>
      </c>
      <c r="D67" s="162"/>
      <c r="E67" s="38"/>
      <c r="F67" s="39">
        <f t="shared" si="6"/>
        <v>6.22628</v>
      </c>
      <c r="G67" s="38" t="s">
        <v>26</v>
      </c>
      <c r="H67" s="39">
        <f>6226.28/1000</f>
        <v>6.22628</v>
      </c>
      <c r="I67" s="40">
        <f t="shared" si="7"/>
        <v>6.22628</v>
      </c>
      <c r="J67" s="38" t="s">
        <v>26</v>
      </c>
      <c r="K67" s="41">
        <f>H67</f>
        <v>6.22628</v>
      </c>
      <c r="L67" s="2"/>
    </row>
    <row r="68" spans="2:12" ht="16.5" thickBot="1" x14ac:dyDescent="0.3">
      <c r="B68" s="205"/>
      <c r="C68" s="206"/>
      <c r="D68" s="206"/>
      <c r="E68" s="206"/>
      <c r="F68" s="206"/>
      <c r="G68" s="206"/>
      <c r="H68" s="206"/>
      <c r="I68" s="206"/>
      <c r="J68" s="206"/>
      <c r="K68" s="207"/>
      <c r="L68" s="2"/>
    </row>
    <row r="69" spans="2:12" ht="42" customHeight="1" x14ac:dyDescent="0.25">
      <c r="B69" s="150" t="s">
        <v>113</v>
      </c>
      <c r="C69" s="160" t="s">
        <v>114</v>
      </c>
      <c r="D69" s="160" t="s">
        <v>115</v>
      </c>
      <c r="E69" s="155">
        <f>43069797.89/1000</f>
        <v>43069.797890000002</v>
      </c>
      <c r="F69" s="155">
        <f>H69+H70+H71+H72+H73+H74+H75+H76+H77+H78</f>
        <v>19702.348419999998</v>
      </c>
      <c r="G69" s="34" t="s">
        <v>116</v>
      </c>
      <c r="H69" s="35">
        <v>2100</v>
      </c>
      <c r="I69" s="35" t="s">
        <v>26</v>
      </c>
      <c r="J69" s="35" t="s">
        <v>26</v>
      </c>
      <c r="K69" s="36" t="s">
        <v>26</v>
      </c>
      <c r="L69" s="2"/>
    </row>
    <row r="70" spans="2:12" ht="40.5" customHeight="1" x14ac:dyDescent="0.25">
      <c r="B70" s="163"/>
      <c r="C70" s="161"/>
      <c r="D70" s="161"/>
      <c r="E70" s="169"/>
      <c r="F70" s="169"/>
      <c r="G70" s="11" t="s">
        <v>117</v>
      </c>
      <c r="H70" s="12">
        <v>2100</v>
      </c>
      <c r="I70" s="12" t="s">
        <v>26</v>
      </c>
      <c r="J70" s="12" t="s">
        <v>26</v>
      </c>
      <c r="K70" s="17" t="s">
        <v>26</v>
      </c>
      <c r="L70" s="2"/>
    </row>
    <row r="71" spans="2:12" ht="42" customHeight="1" x14ac:dyDescent="0.25">
      <c r="B71" s="163"/>
      <c r="C71" s="161"/>
      <c r="D71" s="161"/>
      <c r="E71" s="169"/>
      <c r="F71" s="169"/>
      <c r="G71" s="11" t="s">
        <v>118</v>
      </c>
      <c r="H71" s="12">
        <v>2100</v>
      </c>
      <c r="I71" s="12" t="s">
        <v>26</v>
      </c>
      <c r="J71" s="12" t="s">
        <v>26</v>
      </c>
      <c r="K71" s="17" t="s">
        <v>26</v>
      </c>
      <c r="L71" s="2"/>
    </row>
    <row r="72" spans="2:12" ht="42" customHeight="1" x14ac:dyDescent="0.25">
      <c r="B72" s="163"/>
      <c r="C72" s="161"/>
      <c r="D72" s="161"/>
      <c r="E72" s="169"/>
      <c r="F72" s="169"/>
      <c r="G72" s="12" t="s">
        <v>119</v>
      </c>
      <c r="H72" s="12">
        <v>2100</v>
      </c>
      <c r="I72" s="12" t="s">
        <v>26</v>
      </c>
      <c r="J72" s="12" t="s">
        <v>26</v>
      </c>
      <c r="K72" s="17" t="s">
        <v>26</v>
      </c>
      <c r="L72" s="2"/>
    </row>
    <row r="73" spans="2:12" ht="42" customHeight="1" x14ac:dyDescent="0.25">
      <c r="B73" s="163"/>
      <c r="C73" s="161"/>
      <c r="D73" s="161"/>
      <c r="E73" s="169"/>
      <c r="F73" s="169"/>
      <c r="G73" s="12" t="s">
        <v>120</v>
      </c>
      <c r="H73" s="12">
        <v>2100</v>
      </c>
      <c r="I73" s="12" t="s">
        <v>26</v>
      </c>
      <c r="J73" s="12" t="s">
        <v>26</v>
      </c>
      <c r="K73" s="17" t="s">
        <v>26</v>
      </c>
      <c r="L73" s="2"/>
    </row>
    <row r="74" spans="2:12" ht="42" customHeight="1" x14ac:dyDescent="0.25">
      <c r="B74" s="163"/>
      <c r="C74" s="161"/>
      <c r="D74" s="161"/>
      <c r="E74" s="169"/>
      <c r="F74" s="169"/>
      <c r="G74" s="12" t="s">
        <v>121</v>
      </c>
      <c r="H74" s="12">
        <v>2100</v>
      </c>
      <c r="I74" s="12" t="s">
        <v>26</v>
      </c>
      <c r="J74" s="12" t="s">
        <v>26</v>
      </c>
      <c r="K74" s="17" t="s">
        <v>26</v>
      </c>
      <c r="L74" s="2"/>
    </row>
    <row r="75" spans="2:12" ht="42" customHeight="1" x14ac:dyDescent="0.25">
      <c r="B75" s="163"/>
      <c r="C75" s="161"/>
      <c r="D75" s="161"/>
      <c r="E75" s="169"/>
      <c r="F75" s="169"/>
      <c r="G75" s="12" t="s">
        <v>122</v>
      </c>
      <c r="H75" s="12">
        <v>2100</v>
      </c>
      <c r="I75" s="12" t="s">
        <v>26</v>
      </c>
      <c r="J75" s="12" t="s">
        <v>26</v>
      </c>
      <c r="K75" s="17" t="s">
        <v>26</v>
      </c>
      <c r="L75" s="2"/>
    </row>
    <row r="76" spans="2:12" ht="42" customHeight="1" x14ac:dyDescent="0.25">
      <c r="B76" s="163"/>
      <c r="C76" s="161"/>
      <c r="D76" s="161"/>
      <c r="E76" s="169"/>
      <c r="F76" s="169"/>
      <c r="G76" s="12" t="s">
        <v>123</v>
      </c>
      <c r="H76" s="12">
        <f>2100000/1000</f>
        <v>2100</v>
      </c>
      <c r="I76" s="12" t="s">
        <v>26</v>
      </c>
      <c r="J76" s="12" t="s">
        <v>26</v>
      </c>
      <c r="K76" s="17" t="s">
        <v>26</v>
      </c>
      <c r="L76" s="2"/>
    </row>
    <row r="77" spans="2:12" ht="42" customHeight="1" x14ac:dyDescent="0.25">
      <c r="B77" s="163"/>
      <c r="C77" s="161"/>
      <c r="D77" s="161"/>
      <c r="E77" s="169"/>
      <c r="F77" s="169"/>
      <c r="G77" s="26" t="s">
        <v>124</v>
      </c>
      <c r="H77" s="26">
        <f>2100000/1000</f>
        <v>2100</v>
      </c>
      <c r="I77" s="12" t="s">
        <v>26</v>
      </c>
      <c r="J77" s="12" t="s">
        <v>26</v>
      </c>
      <c r="K77" s="17" t="s">
        <v>26</v>
      </c>
      <c r="L77" s="2"/>
    </row>
    <row r="78" spans="2:12" ht="42" customHeight="1" thickBot="1" x14ac:dyDescent="0.3">
      <c r="B78" s="151"/>
      <c r="C78" s="162"/>
      <c r="D78" s="162"/>
      <c r="E78" s="231"/>
      <c r="F78" s="231"/>
      <c r="G78" s="30" t="s">
        <v>125</v>
      </c>
      <c r="H78" s="30">
        <f>802348.42/1000</f>
        <v>802.34842000000003</v>
      </c>
      <c r="I78" s="30" t="s">
        <v>26</v>
      </c>
      <c r="J78" s="30" t="s">
        <v>26</v>
      </c>
      <c r="K78" s="51" t="s">
        <v>26</v>
      </c>
      <c r="L78" s="2"/>
    </row>
    <row r="79" spans="2:12" ht="37.5" customHeight="1" x14ac:dyDescent="0.25">
      <c r="B79" s="150" t="s">
        <v>126</v>
      </c>
      <c r="C79" s="160" t="s">
        <v>114</v>
      </c>
      <c r="D79" s="160" t="s">
        <v>127</v>
      </c>
      <c r="E79" s="155">
        <f>57760510.17/1000</f>
        <v>57760.510170000001</v>
      </c>
      <c r="F79" s="155">
        <f>H79+H80+H81+H82+H83+H84+H85+H86+H87+H88+H89</f>
        <v>28533.984899999999</v>
      </c>
      <c r="G79" s="34" t="s">
        <v>128</v>
      </c>
      <c r="H79" s="35">
        <v>2800</v>
      </c>
      <c r="I79" s="35" t="s">
        <v>26</v>
      </c>
      <c r="J79" s="35" t="s">
        <v>26</v>
      </c>
      <c r="K79" s="36" t="s">
        <v>26</v>
      </c>
      <c r="L79" s="2"/>
    </row>
    <row r="80" spans="2:12" ht="34.5" customHeight="1" x14ac:dyDescent="0.25">
      <c r="B80" s="163"/>
      <c r="C80" s="161"/>
      <c r="D80" s="161"/>
      <c r="E80" s="169"/>
      <c r="F80" s="169"/>
      <c r="G80" s="13" t="s">
        <v>129</v>
      </c>
      <c r="H80" s="14">
        <v>2800</v>
      </c>
      <c r="I80" s="12" t="s">
        <v>26</v>
      </c>
      <c r="J80" s="12" t="s">
        <v>26</v>
      </c>
      <c r="K80" s="17" t="s">
        <v>26</v>
      </c>
      <c r="L80" s="2"/>
    </row>
    <row r="81" spans="2:12" ht="36" customHeight="1" x14ac:dyDescent="0.25">
      <c r="B81" s="163"/>
      <c r="C81" s="161"/>
      <c r="D81" s="161"/>
      <c r="E81" s="169"/>
      <c r="F81" s="169"/>
      <c r="G81" s="12" t="s">
        <v>130</v>
      </c>
      <c r="H81" s="12">
        <v>2800</v>
      </c>
      <c r="I81" s="12" t="s">
        <v>26</v>
      </c>
      <c r="J81" s="12" t="s">
        <v>26</v>
      </c>
      <c r="K81" s="17" t="s">
        <v>26</v>
      </c>
      <c r="L81" s="2"/>
    </row>
    <row r="82" spans="2:12" ht="33.75" customHeight="1" x14ac:dyDescent="0.25">
      <c r="B82" s="163"/>
      <c r="C82" s="161"/>
      <c r="D82" s="161"/>
      <c r="E82" s="169"/>
      <c r="F82" s="169"/>
      <c r="G82" s="12" t="s">
        <v>131</v>
      </c>
      <c r="H82" s="12">
        <v>2800</v>
      </c>
      <c r="I82" s="12" t="s">
        <v>26</v>
      </c>
      <c r="J82" s="12" t="s">
        <v>26</v>
      </c>
      <c r="K82" s="17" t="s">
        <v>26</v>
      </c>
      <c r="L82" s="2"/>
    </row>
    <row r="83" spans="2:12" ht="34.5" customHeight="1" x14ac:dyDescent="0.25">
      <c r="B83" s="163"/>
      <c r="C83" s="161"/>
      <c r="D83" s="161"/>
      <c r="E83" s="169"/>
      <c r="F83" s="169"/>
      <c r="G83" s="12" t="s">
        <v>132</v>
      </c>
      <c r="H83" s="12">
        <v>2800</v>
      </c>
      <c r="I83" s="12" t="s">
        <v>26</v>
      </c>
      <c r="J83" s="12" t="s">
        <v>26</v>
      </c>
      <c r="K83" s="17" t="s">
        <v>26</v>
      </c>
      <c r="L83" s="2"/>
    </row>
    <row r="84" spans="2:12" ht="32.25" customHeight="1" x14ac:dyDescent="0.25">
      <c r="B84" s="163"/>
      <c r="C84" s="161"/>
      <c r="D84" s="161"/>
      <c r="E84" s="169"/>
      <c r="F84" s="169"/>
      <c r="G84" s="12" t="s">
        <v>133</v>
      </c>
      <c r="H84" s="12">
        <v>2800</v>
      </c>
      <c r="I84" s="12" t="s">
        <v>26</v>
      </c>
      <c r="J84" s="12" t="s">
        <v>26</v>
      </c>
      <c r="K84" s="17" t="s">
        <v>26</v>
      </c>
      <c r="L84" s="2"/>
    </row>
    <row r="85" spans="2:12" ht="32.25" customHeight="1" x14ac:dyDescent="0.25">
      <c r="B85" s="163"/>
      <c r="C85" s="161"/>
      <c r="D85" s="161"/>
      <c r="E85" s="169"/>
      <c r="F85" s="169"/>
      <c r="G85" s="12" t="s">
        <v>134</v>
      </c>
      <c r="H85" s="12">
        <v>2800</v>
      </c>
      <c r="I85" s="12" t="s">
        <v>26</v>
      </c>
      <c r="J85" s="12" t="s">
        <v>26</v>
      </c>
      <c r="K85" s="17" t="s">
        <v>26</v>
      </c>
      <c r="L85" s="2"/>
    </row>
    <row r="86" spans="2:12" ht="32.25" customHeight="1" x14ac:dyDescent="0.25">
      <c r="B86" s="163"/>
      <c r="C86" s="161"/>
      <c r="D86" s="161"/>
      <c r="E86" s="169"/>
      <c r="F86" s="169"/>
      <c r="G86" s="12" t="s">
        <v>135</v>
      </c>
      <c r="H86" s="12">
        <v>2800</v>
      </c>
      <c r="I86" s="12" t="s">
        <v>26</v>
      </c>
      <c r="J86" s="12" t="s">
        <v>26</v>
      </c>
      <c r="K86" s="17" t="s">
        <v>26</v>
      </c>
      <c r="L86" s="2"/>
    </row>
    <row r="87" spans="2:12" ht="32.25" customHeight="1" x14ac:dyDescent="0.25">
      <c r="B87" s="163"/>
      <c r="C87" s="161"/>
      <c r="D87" s="161"/>
      <c r="E87" s="169"/>
      <c r="F87" s="169"/>
      <c r="G87" s="12" t="s">
        <v>136</v>
      </c>
      <c r="H87" s="12">
        <f>2800000/1000</f>
        <v>2800</v>
      </c>
      <c r="I87" s="12" t="s">
        <v>26</v>
      </c>
      <c r="J87" s="12" t="s">
        <v>26</v>
      </c>
      <c r="K87" s="17" t="s">
        <v>26</v>
      </c>
      <c r="L87" s="2"/>
    </row>
    <row r="88" spans="2:12" ht="32.25" customHeight="1" x14ac:dyDescent="0.25">
      <c r="B88" s="163"/>
      <c r="C88" s="161"/>
      <c r="D88" s="161"/>
      <c r="E88" s="169"/>
      <c r="F88" s="169"/>
      <c r="G88" s="12" t="s">
        <v>137</v>
      </c>
      <c r="H88" s="12">
        <f>533984.9/1000</f>
        <v>533.98490000000004</v>
      </c>
      <c r="I88" s="12" t="s">
        <v>26</v>
      </c>
      <c r="J88" s="12" t="s">
        <v>26</v>
      </c>
      <c r="K88" s="17" t="s">
        <v>26</v>
      </c>
      <c r="L88" s="2"/>
    </row>
    <row r="89" spans="2:12" ht="32.25" customHeight="1" x14ac:dyDescent="0.25">
      <c r="B89" s="163"/>
      <c r="C89" s="161"/>
      <c r="D89" s="161"/>
      <c r="E89" s="169"/>
      <c r="F89" s="169"/>
      <c r="G89" s="12" t="s">
        <v>138</v>
      </c>
      <c r="H89" s="12">
        <f>2800000/1000</f>
        <v>2800</v>
      </c>
      <c r="I89" s="12"/>
      <c r="J89" s="12"/>
      <c r="K89" s="17"/>
      <c r="L89" s="2"/>
    </row>
    <row r="90" spans="2:12" ht="30" x14ac:dyDescent="0.25">
      <c r="B90" s="163"/>
      <c r="C90" s="11" t="s">
        <v>139</v>
      </c>
      <c r="D90" s="11" t="s">
        <v>140</v>
      </c>
      <c r="E90" s="12">
        <v>1693</v>
      </c>
      <c r="F90" s="12">
        <f>H90</f>
        <v>1693</v>
      </c>
      <c r="G90" s="12" t="s">
        <v>141</v>
      </c>
      <c r="H90" s="12">
        <v>1693</v>
      </c>
      <c r="I90" s="12" t="s">
        <v>26</v>
      </c>
      <c r="J90" s="11" t="s">
        <v>26</v>
      </c>
      <c r="K90" s="17" t="s">
        <v>26</v>
      </c>
      <c r="L90" s="2"/>
    </row>
    <row r="91" spans="2:12" ht="45.75" thickBot="1" x14ac:dyDescent="0.3">
      <c r="B91" s="151"/>
      <c r="C91" s="38" t="s">
        <v>27</v>
      </c>
      <c r="D91" s="38" t="s">
        <v>28</v>
      </c>
      <c r="E91" s="38" t="s">
        <v>142</v>
      </c>
      <c r="F91" s="30">
        <f>H91</f>
        <v>450.60700119999996</v>
      </c>
      <c r="G91" s="38" t="s">
        <v>143</v>
      </c>
      <c r="H91" s="52">
        <v>450.60700119999996</v>
      </c>
      <c r="I91" s="39" t="s">
        <v>26</v>
      </c>
      <c r="J91" s="38" t="s">
        <v>26</v>
      </c>
      <c r="K91" s="51" t="s">
        <v>26</v>
      </c>
      <c r="L91" s="2"/>
    </row>
    <row r="92" spans="2:12" ht="44.25" customHeight="1" x14ac:dyDescent="0.25">
      <c r="B92" s="150" t="s">
        <v>144</v>
      </c>
      <c r="C92" s="160" t="s">
        <v>114</v>
      </c>
      <c r="D92" s="160" t="s">
        <v>145</v>
      </c>
      <c r="E92" s="155">
        <f>61898866.22/1000</f>
        <v>61898.866219999996</v>
      </c>
      <c r="F92" s="155">
        <f>H92+H93+H94+H95+H96+H97+H98+H99+H100+H101</f>
        <v>28424.149659999999</v>
      </c>
      <c r="G92" s="34" t="s">
        <v>146</v>
      </c>
      <c r="H92" s="35">
        <v>3000</v>
      </c>
      <c r="I92" s="35" t="s">
        <v>26</v>
      </c>
      <c r="J92" s="35" t="s">
        <v>26</v>
      </c>
      <c r="K92" s="36" t="s">
        <v>26</v>
      </c>
      <c r="L92" s="2"/>
    </row>
    <row r="93" spans="2:12" ht="47.25" customHeight="1" x14ac:dyDescent="0.25">
      <c r="B93" s="163"/>
      <c r="C93" s="161"/>
      <c r="D93" s="161"/>
      <c r="E93" s="169"/>
      <c r="F93" s="169"/>
      <c r="G93" s="11" t="s">
        <v>147</v>
      </c>
      <c r="H93" s="14">
        <v>3000</v>
      </c>
      <c r="I93" s="12" t="s">
        <v>26</v>
      </c>
      <c r="J93" s="12" t="s">
        <v>26</v>
      </c>
      <c r="K93" s="17" t="s">
        <v>26</v>
      </c>
      <c r="L93" s="2"/>
    </row>
    <row r="94" spans="2:12" ht="47.25" customHeight="1" x14ac:dyDescent="0.25">
      <c r="B94" s="163"/>
      <c r="C94" s="161"/>
      <c r="D94" s="161"/>
      <c r="E94" s="169"/>
      <c r="F94" s="169"/>
      <c r="G94" s="11" t="s">
        <v>148</v>
      </c>
      <c r="H94" s="14">
        <v>3000</v>
      </c>
      <c r="I94" s="12" t="s">
        <v>26</v>
      </c>
      <c r="J94" s="12" t="s">
        <v>26</v>
      </c>
      <c r="K94" s="17" t="s">
        <v>26</v>
      </c>
      <c r="L94" s="2"/>
    </row>
    <row r="95" spans="2:12" ht="41.25" customHeight="1" x14ac:dyDescent="0.25">
      <c r="B95" s="163"/>
      <c r="C95" s="161"/>
      <c r="D95" s="161"/>
      <c r="E95" s="169"/>
      <c r="F95" s="169"/>
      <c r="G95" s="12" t="s">
        <v>149</v>
      </c>
      <c r="H95" s="14">
        <v>3000</v>
      </c>
      <c r="I95" s="12" t="s">
        <v>26</v>
      </c>
      <c r="J95" s="14" t="s">
        <v>26</v>
      </c>
      <c r="K95" s="19" t="s">
        <v>26</v>
      </c>
      <c r="L95" s="2"/>
    </row>
    <row r="96" spans="2:12" ht="42" customHeight="1" x14ac:dyDescent="0.25">
      <c r="B96" s="163"/>
      <c r="C96" s="161"/>
      <c r="D96" s="161"/>
      <c r="E96" s="169"/>
      <c r="F96" s="169"/>
      <c r="G96" s="12" t="s">
        <v>150</v>
      </c>
      <c r="H96" s="14">
        <v>3000</v>
      </c>
      <c r="I96" s="37" t="s">
        <v>26</v>
      </c>
      <c r="J96" s="14" t="s">
        <v>26</v>
      </c>
      <c r="K96" s="19" t="s">
        <v>26</v>
      </c>
      <c r="L96" s="2"/>
    </row>
    <row r="97" spans="2:12" ht="42" customHeight="1" x14ac:dyDescent="0.25">
      <c r="B97" s="163"/>
      <c r="C97" s="161"/>
      <c r="D97" s="161"/>
      <c r="E97" s="169"/>
      <c r="F97" s="169"/>
      <c r="G97" s="14" t="s">
        <v>151</v>
      </c>
      <c r="H97" s="14">
        <v>3000</v>
      </c>
      <c r="I97" s="12" t="s">
        <v>26</v>
      </c>
      <c r="J97" s="14" t="s">
        <v>26</v>
      </c>
      <c r="K97" s="19" t="s">
        <v>26</v>
      </c>
      <c r="L97" s="2"/>
    </row>
    <row r="98" spans="2:12" ht="42" customHeight="1" x14ac:dyDescent="0.25">
      <c r="B98" s="163"/>
      <c r="C98" s="161"/>
      <c r="D98" s="161"/>
      <c r="E98" s="169"/>
      <c r="F98" s="169"/>
      <c r="G98" s="12" t="s">
        <v>152</v>
      </c>
      <c r="H98" s="12">
        <v>3000</v>
      </c>
      <c r="I98" s="12" t="s">
        <v>26</v>
      </c>
      <c r="J98" s="12" t="s">
        <v>26</v>
      </c>
      <c r="K98" s="17" t="s">
        <v>26</v>
      </c>
      <c r="L98" s="2"/>
    </row>
    <row r="99" spans="2:12" ht="42" customHeight="1" x14ac:dyDescent="0.25">
      <c r="B99" s="163"/>
      <c r="C99" s="161"/>
      <c r="D99" s="161"/>
      <c r="E99" s="169"/>
      <c r="F99" s="169"/>
      <c r="G99" s="14" t="s">
        <v>153</v>
      </c>
      <c r="H99" s="53">
        <f>3000000/1000</f>
        <v>3000</v>
      </c>
      <c r="I99" s="14" t="s">
        <v>26</v>
      </c>
      <c r="J99" s="14" t="s">
        <v>26</v>
      </c>
      <c r="K99" s="19" t="s">
        <v>26</v>
      </c>
      <c r="L99" s="2"/>
    </row>
    <row r="100" spans="2:12" ht="42" customHeight="1" x14ac:dyDescent="0.25">
      <c r="B100" s="163"/>
      <c r="C100" s="161"/>
      <c r="D100" s="161"/>
      <c r="E100" s="169"/>
      <c r="F100" s="169"/>
      <c r="G100" s="12" t="s">
        <v>154</v>
      </c>
      <c r="H100" s="53">
        <f>3000000/1000</f>
        <v>3000</v>
      </c>
      <c r="I100" s="14" t="s">
        <v>26</v>
      </c>
      <c r="J100" s="14" t="s">
        <v>26</v>
      </c>
      <c r="K100" s="19" t="s">
        <v>26</v>
      </c>
      <c r="L100" s="2"/>
    </row>
    <row r="101" spans="2:12" ht="42" customHeight="1" thickBot="1" x14ac:dyDescent="0.3">
      <c r="B101" s="151"/>
      <c r="C101" s="162"/>
      <c r="D101" s="162"/>
      <c r="E101" s="231"/>
      <c r="F101" s="231"/>
      <c r="G101" s="39" t="s">
        <v>155</v>
      </c>
      <c r="H101" s="54">
        <f>1424149.66/1000</f>
        <v>1424.1496599999998</v>
      </c>
      <c r="I101" s="39" t="s">
        <v>26</v>
      </c>
      <c r="J101" s="39" t="s">
        <v>26</v>
      </c>
      <c r="K101" s="55" t="s">
        <v>26</v>
      </c>
      <c r="L101" s="2"/>
    </row>
    <row r="102" spans="2:12" ht="34.5" customHeight="1" x14ac:dyDescent="0.25">
      <c r="B102" s="150" t="s">
        <v>156</v>
      </c>
      <c r="C102" s="160" t="s">
        <v>114</v>
      </c>
      <c r="D102" s="230" t="s">
        <v>157</v>
      </c>
      <c r="E102" s="155">
        <v>59628.235540000001</v>
      </c>
      <c r="F102" s="155">
        <f>H105+H104+H103+H102+H106+H107+H108+H109</f>
        <v>14628.23552</v>
      </c>
      <c r="G102" s="34" t="s">
        <v>158</v>
      </c>
      <c r="H102" s="56">
        <f>2000000/1000</f>
        <v>2000</v>
      </c>
      <c r="I102" s="35" t="s">
        <v>26</v>
      </c>
      <c r="J102" s="35" t="s">
        <v>26</v>
      </c>
      <c r="K102" s="36" t="s">
        <v>26</v>
      </c>
      <c r="L102" s="2"/>
    </row>
    <row r="103" spans="2:12" ht="36.75" customHeight="1" x14ac:dyDescent="0.25">
      <c r="B103" s="163"/>
      <c r="C103" s="161"/>
      <c r="D103" s="166"/>
      <c r="E103" s="169"/>
      <c r="F103" s="169"/>
      <c r="G103" s="11" t="s">
        <v>159</v>
      </c>
      <c r="H103" s="57">
        <f t="shared" ref="H103:H105" si="8">2000000/1000</f>
        <v>2000</v>
      </c>
      <c r="I103" s="12" t="s">
        <v>26</v>
      </c>
      <c r="J103" s="12" t="s">
        <v>26</v>
      </c>
      <c r="K103" s="17" t="s">
        <v>26</v>
      </c>
      <c r="L103" s="2"/>
    </row>
    <row r="104" spans="2:12" ht="33.75" customHeight="1" x14ac:dyDescent="0.25">
      <c r="B104" s="163"/>
      <c r="C104" s="161"/>
      <c r="D104" s="166"/>
      <c r="E104" s="169"/>
      <c r="F104" s="169"/>
      <c r="G104" s="11" t="s">
        <v>160</v>
      </c>
      <c r="H104" s="57">
        <f t="shared" si="8"/>
        <v>2000</v>
      </c>
      <c r="I104" s="12" t="s">
        <v>26</v>
      </c>
      <c r="J104" s="12" t="s">
        <v>26</v>
      </c>
      <c r="K104" s="17" t="s">
        <v>26</v>
      </c>
      <c r="L104" s="2"/>
    </row>
    <row r="105" spans="2:12" ht="33.75" customHeight="1" x14ac:dyDescent="0.25">
      <c r="B105" s="163"/>
      <c r="C105" s="161"/>
      <c r="D105" s="166"/>
      <c r="E105" s="169"/>
      <c r="F105" s="169"/>
      <c r="G105" s="26" t="s">
        <v>161</v>
      </c>
      <c r="H105" s="58">
        <f t="shared" si="8"/>
        <v>2000</v>
      </c>
      <c r="I105" s="12" t="s">
        <v>26</v>
      </c>
      <c r="J105" s="26" t="s">
        <v>26</v>
      </c>
      <c r="K105" s="16" t="s">
        <v>26</v>
      </c>
      <c r="L105" s="2"/>
    </row>
    <row r="106" spans="2:12" ht="33.75" customHeight="1" x14ac:dyDescent="0.25">
      <c r="B106" s="163"/>
      <c r="C106" s="161"/>
      <c r="D106" s="166"/>
      <c r="E106" s="169"/>
      <c r="F106" s="169"/>
      <c r="G106" s="12" t="s">
        <v>162</v>
      </c>
      <c r="H106" s="57">
        <v>2000</v>
      </c>
      <c r="I106" s="12" t="s">
        <v>26</v>
      </c>
      <c r="J106" s="26" t="s">
        <v>26</v>
      </c>
      <c r="K106" s="16" t="s">
        <v>26</v>
      </c>
      <c r="L106" s="2"/>
    </row>
    <row r="107" spans="2:12" ht="33.75" customHeight="1" x14ac:dyDescent="0.25">
      <c r="B107" s="163"/>
      <c r="C107" s="161"/>
      <c r="D107" s="166"/>
      <c r="E107" s="169"/>
      <c r="F107" s="169"/>
      <c r="G107" s="12" t="s">
        <v>163</v>
      </c>
      <c r="H107" s="12">
        <v>2000</v>
      </c>
      <c r="I107" s="12" t="s">
        <v>26</v>
      </c>
      <c r="J107" s="26" t="s">
        <v>26</v>
      </c>
      <c r="K107" s="16" t="s">
        <v>26</v>
      </c>
      <c r="L107" s="2"/>
    </row>
    <row r="108" spans="2:12" ht="33.75" customHeight="1" x14ac:dyDescent="0.25">
      <c r="B108" s="163"/>
      <c r="C108" s="161"/>
      <c r="D108" s="166"/>
      <c r="E108" s="169"/>
      <c r="F108" s="169"/>
      <c r="G108" s="12" t="s">
        <v>164</v>
      </c>
      <c r="H108" s="12">
        <v>2000</v>
      </c>
      <c r="I108" s="12" t="s">
        <v>26</v>
      </c>
      <c r="J108" s="12" t="s">
        <v>26</v>
      </c>
      <c r="K108" s="17" t="s">
        <v>26</v>
      </c>
      <c r="L108" s="2"/>
    </row>
    <row r="109" spans="2:12" ht="33.75" customHeight="1" thickBot="1" x14ac:dyDescent="0.3">
      <c r="B109" s="163"/>
      <c r="C109" s="161"/>
      <c r="D109" s="166"/>
      <c r="E109" s="169"/>
      <c r="F109" s="169"/>
      <c r="G109" s="26" t="s">
        <v>165</v>
      </c>
      <c r="H109" s="59">
        <v>628.23551999999995</v>
      </c>
      <c r="I109" s="26" t="s">
        <v>26</v>
      </c>
      <c r="J109" s="37" t="s">
        <v>26</v>
      </c>
      <c r="K109" s="60" t="s">
        <v>26</v>
      </c>
      <c r="L109" s="2"/>
    </row>
    <row r="110" spans="2:12" ht="33.75" customHeight="1" x14ac:dyDescent="0.25">
      <c r="B110" s="150" t="s">
        <v>166</v>
      </c>
      <c r="C110" s="34" t="s">
        <v>43</v>
      </c>
      <c r="D110" s="34" t="s">
        <v>44</v>
      </c>
      <c r="E110" s="35" t="s">
        <v>26</v>
      </c>
      <c r="F110" s="35">
        <f>H110</f>
        <v>5363.3184299999994</v>
      </c>
      <c r="G110" s="35" t="s">
        <v>167</v>
      </c>
      <c r="H110" s="35">
        <f>5363318.43/1000</f>
        <v>5363.3184299999994</v>
      </c>
      <c r="I110" s="35">
        <f>K110</f>
        <v>5363.3184299999994</v>
      </c>
      <c r="J110" s="35" t="s">
        <v>168</v>
      </c>
      <c r="K110" s="36">
        <f>5363318.43/1000</f>
        <v>5363.3184299999994</v>
      </c>
      <c r="L110" s="2"/>
    </row>
    <row r="111" spans="2:12" ht="30" customHeight="1" x14ac:dyDescent="0.25">
      <c r="B111" s="163"/>
      <c r="C111" s="194" t="s">
        <v>50</v>
      </c>
      <c r="D111" s="166"/>
      <c r="E111" s="13" t="s">
        <v>26</v>
      </c>
      <c r="F111" s="14">
        <f t="shared" ref="F111:F145" si="9">H111</f>
        <v>18.88054</v>
      </c>
      <c r="G111" s="13" t="s">
        <v>26</v>
      </c>
      <c r="H111" s="14">
        <v>18.88054</v>
      </c>
      <c r="I111" s="14">
        <f t="shared" ref="I111:I137" si="10">K111</f>
        <v>70.291899999999998</v>
      </c>
      <c r="J111" s="13" t="s">
        <v>26</v>
      </c>
      <c r="K111" s="19">
        <v>70.291899999999998</v>
      </c>
      <c r="L111" s="2"/>
    </row>
    <row r="112" spans="2:12" ht="30.75" customHeight="1" x14ac:dyDescent="0.25">
      <c r="B112" s="163"/>
      <c r="C112" s="152" t="s">
        <v>51</v>
      </c>
      <c r="D112" s="153"/>
      <c r="E112" s="23" t="s">
        <v>26</v>
      </c>
      <c r="F112" s="12">
        <f t="shared" si="9"/>
        <v>74.780929999999998</v>
      </c>
      <c r="G112" s="11" t="s">
        <v>26</v>
      </c>
      <c r="H112" s="12">
        <v>74.780929999999998</v>
      </c>
      <c r="I112" s="12">
        <f t="shared" si="10"/>
        <v>62.729939999999999</v>
      </c>
      <c r="J112" s="11" t="s">
        <v>26</v>
      </c>
      <c r="K112" s="17">
        <v>62.729939999999999</v>
      </c>
      <c r="L112" s="2"/>
    </row>
    <row r="113" spans="2:12" ht="36.75" customHeight="1" x14ac:dyDescent="0.25">
      <c r="B113" s="163"/>
      <c r="C113" s="179" t="s">
        <v>52</v>
      </c>
      <c r="D113" s="180"/>
      <c r="E113" s="11" t="s">
        <v>26</v>
      </c>
      <c r="F113" s="12">
        <f t="shared" si="9"/>
        <v>39.360366999999997</v>
      </c>
      <c r="G113" s="11" t="s">
        <v>26</v>
      </c>
      <c r="H113" s="12">
        <v>39.360366999999997</v>
      </c>
      <c r="I113" s="11" t="s">
        <v>26</v>
      </c>
      <c r="J113" s="11" t="s">
        <v>26</v>
      </c>
      <c r="K113" s="61" t="s">
        <v>26</v>
      </c>
      <c r="L113" s="2"/>
    </row>
    <row r="114" spans="2:12" ht="45.75" customHeight="1" x14ac:dyDescent="0.25">
      <c r="B114" s="163"/>
      <c r="C114" s="179" t="s">
        <v>56</v>
      </c>
      <c r="D114" s="180"/>
      <c r="E114" s="11" t="s">
        <v>26</v>
      </c>
      <c r="F114" s="12">
        <f t="shared" si="9"/>
        <v>27.0126970883227</v>
      </c>
      <c r="G114" s="11" t="s">
        <v>26</v>
      </c>
      <c r="H114" s="12">
        <f>27012.6970883227/1000</f>
        <v>27.0126970883227</v>
      </c>
      <c r="I114" s="20">
        <f>K114</f>
        <v>130.11346</v>
      </c>
      <c r="J114" s="11" t="s">
        <v>26</v>
      </c>
      <c r="K114" s="24">
        <f>106294.46/1000+23.819</f>
        <v>130.11346</v>
      </c>
      <c r="L114" s="2"/>
    </row>
    <row r="115" spans="2:12" ht="45.75" customHeight="1" x14ac:dyDescent="0.25">
      <c r="B115" s="163"/>
      <c r="C115" s="179" t="s">
        <v>57</v>
      </c>
      <c r="D115" s="180"/>
      <c r="E115" s="11" t="s">
        <v>26</v>
      </c>
      <c r="F115" s="12">
        <f t="shared" si="9"/>
        <v>114.40482</v>
      </c>
      <c r="G115" s="11" t="s">
        <v>26</v>
      </c>
      <c r="H115" s="12">
        <f>114404.82/1000</f>
        <v>114.40482</v>
      </c>
      <c r="I115" s="20">
        <f t="shared" ref="I115:I120" si="11">K115</f>
        <v>115.14254999999999</v>
      </c>
      <c r="J115" s="11" t="s">
        <v>26</v>
      </c>
      <c r="K115" s="24">
        <f>(105879.9+9262.65)/1000</f>
        <v>115.14254999999999</v>
      </c>
      <c r="L115" s="2"/>
    </row>
    <row r="116" spans="2:12" ht="57" customHeight="1" x14ac:dyDescent="0.25">
      <c r="B116" s="163"/>
      <c r="C116" s="179" t="s">
        <v>58</v>
      </c>
      <c r="D116" s="180"/>
      <c r="E116" s="11" t="s">
        <v>26</v>
      </c>
      <c r="F116" s="12">
        <f t="shared" si="9"/>
        <v>95.651300000000006</v>
      </c>
      <c r="G116" s="11" t="s">
        <v>26</v>
      </c>
      <c r="H116" s="12">
        <f>95651.3/1000</f>
        <v>95.651300000000006</v>
      </c>
      <c r="I116" s="20">
        <f t="shared" si="11"/>
        <v>89.7761</v>
      </c>
      <c r="J116" s="11" t="s">
        <v>26</v>
      </c>
      <c r="K116" s="24">
        <f>(83002.55+6773.55)/1000</f>
        <v>89.7761</v>
      </c>
      <c r="L116" s="2"/>
    </row>
    <row r="117" spans="2:12" ht="53.25" customHeight="1" x14ac:dyDescent="0.25">
      <c r="B117" s="163"/>
      <c r="C117" s="183" t="s">
        <v>59</v>
      </c>
      <c r="D117" s="183"/>
      <c r="E117" s="11" t="s">
        <v>26</v>
      </c>
      <c r="F117" s="12">
        <f t="shared" si="9"/>
        <v>72.944659999999999</v>
      </c>
      <c r="G117" s="11" t="s">
        <v>26</v>
      </c>
      <c r="H117" s="12">
        <f>72944.66/1000</f>
        <v>72.944659999999999</v>
      </c>
      <c r="I117" s="20">
        <f t="shared" si="11"/>
        <v>54.318300000000001</v>
      </c>
      <c r="J117" s="11" t="s">
        <v>26</v>
      </c>
      <c r="K117" s="24">
        <f>(50384.9+3933.4)/1000</f>
        <v>54.318300000000001</v>
      </c>
      <c r="L117" s="2"/>
    </row>
    <row r="118" spans="2:12" ht="53.25" customHeight="1" x14ac:dyDescent="0.25">
      <c r="B118" s="163"/>
      <c r="C118" s="179" t="s">
        <v>60</v>
      </c>
      <c r="D118" s="180"/>
      <c r="E118" s="11" t="s">
        <v>26</v>
      </c>
      <c r="F118" s="12">
        <f t="shared" si="9"/>
        <v>48.484349999999999</v>
      </c>
      <c r="G118" s="11" t="s">
        <v>26</v>
      </c>
      <c r="H118" s="12">
        <f>48484.35/1000</f>
        <v>48.484349999999999</v>
      </c>
      <c r="I118" s="20">
        <f t="shared" si="11"/>
        <v>56.712850000000003</v>
      </c>
      <c r="J118" s="11" t="s">
        <v>26</v>
      </c>
      <c r="K118" s="24">
        <f>(52920.19+3792.66)/1000</f>
        <v>56.712850000000003</v>
      </c>
      <c r="L118" s="2"/>
    </row>
    <row r="119" spans="2:12" ht="53.25" customHeight="1" x14ac:dyDescent="0.25">
      <c r="B119" s="163"/>
      <c r="C119" s="188" t="s">
        <v>61</v>
      </c>
      <c r="D119" s="167"/>
      <c r="E119" s="13" t="s">
        <v>26</v>
      </c>
      <c r="F119" s="14">
        <f t="shared" si="9"/>
        <v>54.038994578837894</v>
      </c>
      <c r="G119" s="13" t="s">
        <v>26</v>
      </c>
      <c r="H119" s="14">
        <f>54038.9945788379/1000</f>
        <v>54.038994578837894</v>
      </c>
      <c r="I119" s="62">
        <f t="shared" si="11"/>
        <v>54.742959999999997</v>
      </c>
      <c r="J119" s="13" t="s">
        <v>26</v>
      </c>
      <c r="K119" s="25">
        <f>54742.96/1000</f>
        <v>54.742959999999997</v>
      </c>
      <c r="L119" s="2"/>
    </row>
    <row r="120" spans="2:12" ht="53.25" customHeight="1" x14ac:dyDescent="0.25">
      <c r="B120" s="163"/>
      <c r="C120" s="179" t="s">
        <v>62</v>
      </c>
      <c r="D120" s="180"/>
      <c r="E120" s="11" t="s">
        <v>26</v>
      </c>
      <c r="F120" s="12">
        <f t="shared" si="9"/>
        <v>0</v>
      </c>
      <c r="G120" s="11" t="s">
        <v>26</v>
      </c>
      <c r="H120" s="12">
        <v>0</v>
      </c>
      <c r="I120" s="20">
        <f t="shared" si="11"/>
        <v>-47.58126</v>
      </c>
      <c r="J120" s="11" t="s">
        <v>26</v>
      </c>
      <c r="K120" s="24">
        <f>-47581.26/1000</f>
        <v>-47.58126</v>
      </c>
      <c r="L120" s="2"/>
    </row>
    <row r="121" spans="2:12" ht="42" customHeight="1" thickBot="1" x14ac:dyDescent="0.3">
      <c r="B121" s="151"/>
      <c r="C121" s="189" t="s">
        <v>68</v>
      </c>
      <c r="D121" s="190"/>
      <c r="E121" s="29" t="s">
        <v>26</v>
      </c>
      <c r="F121" s="39">
        <f>H121</f>
        <v>466.07671610017502</v>
      </c>
      <c r="G121" s="29" t="s">
        <v>26</v>
      </c>
      <c r="H121" s="54">
        <f>466076.716100175/1000</f>
        <v>466.07671610017502</v>
      </c>
      <c r="I121" s="40">
        <f>K121</f>
        <v>466.07671610017502</v>
      </c>
      <c r="J121" s="29" t="s">
        <v>26</v>
      </c>
      <c r="K121" s="41">
        <f>H121</f>
        <v>466.07671610017502</v>
      </c>
      <c r="L121" s="2"/>
    </row>
    <row r="122" spans="2:12" ht="33.75" customHeight="1" x14ac:dyDescent="0.25">
      <c r="B122" s="150" t="s">
        <v>169</v>
      </c>
      <c r="C122" s="148" t="s">
        <v>43</v>
      </c>
      <c r="D122" s="148" t="s">
        <v>44</v>
      </c>
      <c r="E122" s="149" t="s">
        <v>26</v>
      </c>
      <c r="F122" s="149" t="s">
        <v>26</v>
      </c>
      <c r="G122" s="149" t="s">
        <v>26</v>
      </c>
      <c r="H122" s="149" t="s">
        <v>26</v>
      </c>
      <c r="I122" s="149">
        <f>K122</f>
        <v>3055.54439</v>
      </c>
      <c r="J122" s="149" t="s">
        <v>168</v>
      </c>
      <c r="K122" s="36">
        <f>3055544.39/1000</f>
        <v>3055.54439</v>
      </c>
      <c r="L122" s="2"/>
    </row>
    <row r="123" spans="2:12" ht="46.5" customHeight="1" x14ac:dyDescent="0.25">
      <c r="B123" s="163"/>
      <c r="C123" s="130" t="s">
        <v>43</v>
      </c>
      <c r="D123" s="130" t="s">
        <v>44</v>
      </c>
      <c r="E123" s="57" t="s">
        <v>26</v>
      </c>
      <c r="F123" s="128">
        <f>H123</f>
        <v>940.21978999999999</v>
      </c>
      <c r="G123" s="139" t="s">
        <v>167</v>
      </c>
      <c r="H123" s="139">
        <f>940219.79/1000</f>
        <v>940.21978999999999</v>
      </c>
      <c r="I123" s="139" t="s">
        <v>26</v>
      </c>
      <c r="J123" s="139" t="s">
        <v>26</v>
      </c>
      <c r="K123" s="140" t="s">
        <v>26</v>
      </c>
      <c r="L123" s="2"/>
    </row>
    <row r="124" spans="2:12" ht="31.5" customHeight="1" x14ac:dyDescent="0.25">
      <c r="B124" s="163"/>
      <c r="C124" s="194" t="s">
        <v>50</v>
      </c>
      <c r="D124" s="166"/>
      <c r="E124" s="127" t="s">
        <v>26</v>
      </c>
      <c r="F124" s="128">
        <f t="shared" si="9"/>
        <v>17.783840000000001</v>
      </c>
      <c r="G124" s="127" t="s">
        <v>26</v>
      </c>
      <c r="H124" s="128">
        <v>17.783840000000001</v>
      </c>
      <c r="I124" s="128">
        <f t="shared" si="10"/>
        <v>64.594759999999994</v>
      </c>
      <c r="J124" s="127" t="s">
        <v>26</v>
      </c>
      <c r="K124" s="129">
        <v>64.594759999999994</v>
      </c>
      <c r="L124" s="2"/>
    </row>
    <row r="125" spans="2:12" ht="29.25" customHeight="1" x14ac:dyDescent="0.25">
      <c r="B125" s="163"/>
      <c r="C125" s="152" t="s">
        <v>51</v>
      </c>
      <c r="D125" s="153"/>
      <c r="E125" s="134" t="s">
        <v>26</v>
      </c>
      <c r="F125" s="139">
        <f t="shared" si="9"/>
        <v>60.504339999999999</v>
      </c>
      <c r="G125" s="130" t="s">
        <v>26</v>
      </c>
      <c r="H125" s="139">
        <v>60.504339999999999</v>
      </c>
      <c r="I125" s="139">
        <f t="shared" si="10"/>
        <v>37.398479999999999</v>
      </c>
      <c r="J125" s="130" t="s">
        <v>26</v>
      </c>
      <c r="K125" s="140">
        <v>37.398479999999999</v>
      </c>
      <c r="L125" s="2"/>
    </row>
    <row r="126" spans="2:12" ht="31.5" customHeight="1" x14ac:dyDescent="0.25">
      <c r="B126" s="163"/>
      <c r="C126" s="179" t="s">
        <v>52</v>
      </c>
      <c r="D126" s="180"/>
      <c r="E126" s="130" t="s">
        <v>26</v>
      </c>
      <c r="F126" s="139">
        <f t="shared" si="9"/>
        <v>23.704999999999998</v>
      </c>
      <c r="G126" s="130" t="s">
        <v>26</v>
      </c>
      <c r="H126" s="139">
        <v>23.704999999999998</v>
      </c>
      <c r="I126" s="130" t="s">
        <v>26</v>
      </c>
      <c r="J126" s="130" t="s">
        <v>26</v>
      </c>
      <c r="K126" s="61" t="s">
        <v>26</v>
      </c>
      <c r="L126" s="2"/>
    </row>
    <row r="127" spans="2:12" ht="50.25" customHeight="1" x14ac:dyDescent="0.25">
      <c r="B127" s="163"/>
      <c r="C127" s="179" t="s">
        <v>56</v>
      </c>
      <c r="D127" s="180"/>
      <c r="E127" s="130" t="s">
        <v>26</v>
      </c>
      <c r="F127" s="139">
        <f t="shared" si="9"/>
        <v>22.3391250991764</v>
      </c>
      <c r="G127" s="130" t="s">
        <v>26</v>
      </c>
      <c r="H127" s="139">
        <f>22339.1250991764/1000</f>
        <v>22.3391250991764</v>
      </c>
      <c r="I127" s="20">
        <f>K127</f>
        <v>104.5342</v>
      </c>
      <c r="J127" s="130" t="s">
        <v>26</v>
      </c>
      <c r="K127" s="24">
        <f>85.92871+18.60549</f>
        <v>104.5342</v>
      </c>
      <c r="L127" s="2"/>
    </row>
    <row r="128" spans="2:12" ht="50.25" customHeight="1" x14ac:dyDescent="0.25">
      <c r="B128" s="163"/>
      <c r="C128" s="179" t="s">
        <v>57</v>
      </c>
      <c r="D128" s="180"/>
      <c r="E128" s="130" t="s">
        <v>26</v>
      </c>
      <c r="F128" s="139">
        <f t="shared" si="9"/>
        <v>97.824039999999997</v>
      </c>
      <c r="G128" s="130" t="s">
        <v>26</v>
      </c>
      <c r="H128" s="139">
        <f>97824.04/1000</f>
        <v>97.824039999999997</v>
      </c>
      <c r="I128" s="20">
        <f t="shared" ref="I128:I133" si="12">K128</f>
        <v>111.35549</v>
      </c>
      <c r="J128" s="130" t="s">
        <v>26</v>
      </c>
      <c r="K128" s="24">
        <f>(102395.52+8959.97)/1000</f>
        <v>111.35549</v>
      </c>
      <c r="L128" s="2"/>
    </row>
    <row r="129" spans="2:12" ht="58.5" customHeight="1" x14ac:dyDescent="0.25">
      <c r="B129" s="163"/>
      <c r="C129" s="194" t="s">
        <v>58</v>
      </c>
      <c r="D129" s="166"/>
      <c r="E129" s="126" t="s">
        <v>26</v>
      </c>
      <c r="F129" s="125">
        <f t="shared" si="9"/>
        <v>90.734610000000004</v>
      </c>
      <c r="G129" s="126" t="s">
        <v>26</v>
      </c>
      <c r="H129" s="125">
        <f>90734.61/1000</f>
        <v>90.734610000000004</v>
      </c>
      <c r="I129" s="146">
        <f t="shared" si="12"/>
        <v>80.573740000000001</v>
      </c>
      <c r="J129" s="126" t="s">
        <v>26</v>
      </c>
      <c r="K129" s="143">
        <f>(74438.39+6135.35)/1000</f>
        <v>80.573740000000001</v>
      </c>
      <c r="L129" s="2"/>
    </row>
    <row r="130" spans="2:12" ht="53.25" customHeight="1" x14ac:dyDescent="0.25">
      <c r="B130" s="163"/>
      <c r="C130" s="183" t="s">
        <v>59</v>
      </c>
      <c r="D130" s="183"/>
      <c r="E130" s="130" t="s">
        <v>26</v>
      </c>
      <c r="F130" s="139">
        <f t="shared" si="9"/>
        <v>64.579790000000003</v>
      </c>
      <c r="G130" s="130" t="s">
        <v>26</v>
      </c>
      <c r="H130" s="139">
        <f>64579.79/1000</f>
        <v>64.579790000000003</v>
      </c>
      <c r="I130" s="20">
        <f t="shared" si="12"/>
        <v>47.007259999999995</v>
      </c>
      <c r="J130" s="130" t="s">
        <v>26</v>
      </c>
      <c r="K130" s="24">
        <f>(43551.45+3455.81)/1000</f>
        <v>47.007259999999995</v>
      </c>
      <c r="L130" s="2"/>
    </row>
    <row r="131" spans="2:12" ht="53.25" customHeight="1" x14ac:dyDescent="0.25">
      <c r="B131" s="163"/>
      <c r="C131" s="179" t="s">
        <v>60</v>
      </c>
      <c r="D131" s="180"/>
      <c r="E131" s="130" t="s">
        <v>26</v>
      </c>
      <c r="F131" s="139">
        <f t="shared" si="9"/>
        <v>43.966449999999995</v>
      </c>
      <c r="G131" s="130" t="s">
        <v>26</v>
      </c>
      <c r="H131" s="139">
        <f>43966.45/1000</f>
        <v>43.966449999999995</v>
      </c>
      <c r="I131" s="20">
        <f t="shared" si="12"/>
        <v>57.888019999999997</v>
      </c>
      <c r="J131" s="130" t="s">
        <v>26</v>
      </c>
      <c r="K131" s="24">
        <f>(54031.5+3856.52)/1000</f>
        <v>57.888019999999997</v>
      </c>
      <c r="L131" s="2"/>
    </row>
    <row r="132" spans="2:12" ht="53.25" customHeight="1" x14ac:dyDescent="0.25">
      <c r="B132" s="163"/>
      <c r="C132" s="188" t="s">
        <v>61</v>
      </c>
      <c r="D132" s="167"/>
      <c r="E132" s="127" t="s">
        <v>26</v>
      </c>
      <c r="F132" s="128">
        <f t="shared" si="9"/>
        <v>54.8303723582045</v>
      </c>
      <c r="G132" s="127" t="s">
        <v>26</v>
      </c>
      <c r="H132" s="128">
        <f>54830.3723582045/1000</f>
        <v>54.8303723582045</v>
      </c>
      <c r="I132" s="62">
        <f t="shared" si="12"/>
        <v>54.114199999999997</v>
      </c>
      <c r="J132" s="127" t="s">
        <v>26</v>
      </c>
      <c r="K132" s="25">
        <f>54114.2/1000</f>
        <v>54.114199999999997</v>
      </c>
      <c r="L132" s="2"/>
    </row>
    <row r="133" spans="2:12" ht="53.25" customHeight="1" x14ac:dyDescent="0.25">
      <c r="B133" s="163"/>
      <c r="C133" s="179" t="s">
        <v>62</v>
      </c>
      <c r="D133" s="180"/>
      <c r="E133" s="130" t="s">
        <v>26</v>
      </c>
      <c r="F133" s="139">
        <f t="shared" si="9"/>
        <v>0</v>
      </c>
      <c r="G133" s="130" t="s">
        <v>26</v>
      </c>
      <c r="H133" s="139">
        <v>0</v>
      </c>
      <c r="I133" s="20">
        <f t="shared" si="12"/>
        <v>-41.01314</v>
      </c>
      <c r="J133" s="130" t="s">
        <v>26</v>
      </c>
      <c r="K133" s="24">
        <f>-41013.14/1000</f>
        <v>-41.01314</v>
      </c>
      <c r="L133" s="2"/>
    </row>
    <row r="134" spans="2:12" ht="42" customHeight="1" thickBot="1" x14ac:dyDescent="0.3">
      <c r="B134" s="151"/>
      <c r="C134" s="189" t="s">
        <v>68</v>
      </c>
      <c r="D134" s="190"/>
      <c r="E134" s="135" t="s">
        <v>26</v>
      </c>
      <c r="F134" s="137">
        <f>H134</f>
        <v>265.52928280537901</v>
      </c>
      <c r="G134" s="135" t="s">
        <v>26</v>
      </c>
      <c r="H134" s="54">
        <f>265529.282805379/1000</f>
        <v>265.52928280537901</v>
      </c>
      <c r="I134" s="147">
        <f>K134</f>
        <v>265.52928280537901</v>
      </c>
      <c r="J134" s="135" t="s">
        <v>26</v>
      </c>
      <c r="K134" s="144">
        <f>H134</f>
        <v>265.52928280537901</v>
      </c>
      <c r="L134" s="2"/>
    </row>
    <row r="135" spans="2:12" ht="33.75" customHeight="1" x14ac:dyDescent="0.25">
      <c r="B135" s="150" t="s">
        <v>170</v>
      </c>
      <c r="C135" s="34" t="s">
        <v>43</v>
      </c>
      <c r="D135" s="34" t="s">
        <v>44</v>
      </c>
      <c r="E135" s="13" t="s">
        <v>26</v>
      </c>
      <c r="F135" s="12" t="s">
        <v>26</v>
      </c>
      <c r="G135" s="12" t="s">
        <v>26</v>
      </c>
      <c r="H135" s="12" t="s">
        <v>26</v>
      </c>
      <c r="I135" s="35">
        <f>K135</f>
        <v>4473.72955</v>
      </c>
      <c r="J135" s="35" t="s">
        <v>168</v>
      </c>
      <c r="K135" s="36">
        <f>4473729.55/1000</f>
        <v>4473.72955</v>
      </c>
      <c r="L135" s="2"/>
    </row>
    <row r="136" spans="2:12" ht="33" customHeight="1" x14ac:dyDescent="0.25">
      <c r="B136" s="163"/>
      <c r="C136" s="188" t="s">
        <v>50</v>
      </c>
      <c r="D136" s="167"/>
      <c r="E136" s="13" t="s">
        <v>26</v>
      </c>
      <c r="F136" s="14">
        <f t="shared" si="9"/>
        <v>16.29823</v>
      </c>
      <c r="G136" s="13" t="s">
        <v>26</v>
      </c>
      <c r="H136" s="14">
        <v>16.29823</v>
      </c>
      <c r="I136" s="14">
        <f t="shared" si="10"/>
        <v>59.387619999999998</v>
      </c>
      <c r="J136" s="13" t="s">
        <v>26</v>
      </c>
      <c r="K136" s="19">
        <v>59.387619999999998</v>
      </c>
      <c r="L136" s="2"/>
    </row>
    <row r="137" spans="2:12" ht="32.25" customHeight="1" x14ac:dyDescent="0.25">
      <c r="B137" s="163"/>
      <c r="C137" s="179" t="s">
        <v>51</v>
      </c>
      <c r="D137" s="180"/>
      <c r="E137" s="23" t="s">
        <v>26</v>
      </c>
      <c r="F137" s="12">
        <f t="shared" si="9"/>
        <v>63.782319999999999</v>
      </c>
      <c r="G137" s="11" t="s">
        <v>26</v>
      </c>
      <c r="H137" s="12">
        <v>63.782319999999999</v>
      </c>
      <c r="I137" s="12">
        <f t="shared" si="10"/>
        <v>55.921729999999997</v>
      </c>
      <c r="J137" s="11" t="s">
        <v>26</v>
      </c>
      <c r="K137" s="17">
        <v>55.921729999999997</v>
      </c>
      <c r="L137" s="2"/>
    </row>
    <row r="138" spans="2:12" ht="33.75" customHeight="1" x14ac:dyDescent="0.25">
      <c r="B138" s="163"/>
      <c r="C138" s="179" t="s">
        <v>52</v>
      </c>
      <c r="D138" s="180"/>
      <c r="E138" s="11" t="s">
        <v>26</v>
      </c>
      <c r="F138" s="12">
        <f t="shared" si="9"/>
        <v>35.2288</v>
      </c>
      <c r="G138" s="11" t="s">
        <v>26</v>
      </c>
      <c r="H138" s="12">
        <v>35.2288</v>
      </c>
      <c r="I138" s="11" t="s">
        <v>26</v>
      </c>
      <c r="J138" s="11" t="s">
        <v>26</v>
      </c>
      <c r="K138" s="61" t="s">
        <v>26</v>
      </c>
      <c r="L138" s="2"/>
    </row>
    <row r="139" spans="2:12" ht="47.25" customHeight="1" x14ac:dyDescent="0.25">
      <c r="B139" s="163"/>
      <c r="C139" s="179" t="s">
        <v>56</v>
      </c>
      <c r="D139" s="180"/>
      <c r="E139" s="11" t="s">
        <v>26</v>
      </c>
      <c r="F139" s="12">
        <f t="shared" si="9"/>
        <v>18.12172</v>
      </c>
      <c r="G139" s="11" t="s">
        <v>26</v>
      </c>
      <c r="H139" s="12">
        <f>18121.72/1000</f>
        <v>18.12172</v>
      </c>
      <c r="I139" s="20">
        <f>K139</f>
        <v>82.025049999999993</v>
      </c>
      <c r="J139" s="11" t="s">
        <v>26</v>
      </c>
      <c r="K139" s="24">
        <f>64.20599+17.81906</f>
        <v>82.025049999999993</v>
      </c>
      <c r="L139" s="2"/>
    </row>
    <row r="140" spans="2:12" ht="47.25" customHeight="1" x14ac:dyDescent="0.25">
      <c r="B140" s="163"/>
      <c r="C140" s="179" t="s">
        <v>57</v>
      </c>
      <c r="D140" s="180"/>
      <c r="E140" s="11" t="s">
        <v>26</v>
      </c>
      <c r="F140" s="12">
        <f t="shared" si="9"/>
        <v>78.878299999999996</v>
      </c>
      <c r="G140" s="11" t="s">
        <v>26</v>
      </c>
      <c r="H140" s="12">
        <f>78878.3/1000</f>
        <v>78.878299999999996</v>
      </c>
      <c r="I140" s="20">
        <f t="shared" ref="I140:I148" si="13">K140</f>
        <v>106.03588999999999</v>
      </c>
      <c r="J140" s="11" t="s">
        <v>26</v>
      </c>
      <c r="K140" s="24">
        <f>(97598.59+8437.3)/1000</f>
        <v>106.03588999999999</v>
      </c>
      <c r="L140" s="2"/>
    </row>
    <row r="141" spans="2:12" ht="53.25" customHeight="1" x14ac:dyDescent="0.25">
      <c r="B141" s="163"/>
      <c r="C141" s="183" t="s">
        <v>58</v>
      </c>
      <c r="D141" s="183"/>
      <c r="E141" s="11" t="s">
        <v>26</v>
      </c>
      <c r="F141" s="12">
        <f t="shared" si="9"/>
        <v>88.997600000000006</v>
      </c>
      <c r="G141" s="11" t="s">
        <v>26</v>
      </c>
      <c r="H141" s="12">
        <f>88997.6/1000</f>
        <v>88.997600000000006</v>
      </c>
      <c r="I141" s="20">
        <f t="shared" si="13"/>
        <v>88.52046</v>
      </c>
      <c r="J141" s="11" t="s">
        <v>26</v>
      </c>
      <c r="K141" s="24">
        <f>(81741.97+6778.49)/1000</f>
        <v>88.52046</v>
      </c>
      <c r="L141" s="2"/>
    </row>
    <row r="142" spans="2:12" ht="53.25" customHeight="1" x14ac:dyDescent="0.25">
      <c r="B142" s="163"/>
      <c r="C142" s="183" t="s">
        <v>59</v>
      </c>
      <c r="D142" s="183"/>
      <c r="E142" s="11" t="s">
        <v>26</v>
      </c>
      <c r="F142" s="12">
        <f t="shared" si="9"/>
        <v>69.888159999999999</v>
      </c>
      <c r="G142" s="11" t="s">
        <v>26</v>
      </c>
      <c r="H142" s="12">
        <f>69888.16/1000</f>
        <v>69.888159999999999</v>
      </c>
      <c r="I142" s="20">
        <f t="shared" si="13"/>
        <v>44.759080000000004</v>
      </c>
      <c r="J142" s="11" t="s">
        <v>26</v>
      </c>
      <c r="K142" s="24">
        <f>(41451.3+3307.78)/1000</f>
        <v>44.759080000000004</v>
      </c>
      <c r="L142" s="2"/>
    </row>
    <row r="143" spans="2:12" ht="53.25" customHeight="1" x14ac:dyDescent="0.25">
      <c r="B143" s="163"/>
      <c r="C143" s="179" t="s">
        <v>60</v>
      </c>
      <c r="D143" s="180"/>
      <c r="E143" s="11" t="s">
        <v>26</v>
      </c>
      <c r="F143" s="12">
        <f t="shared" si="9"/>
        <v>42.986750000000001</v>
      </c>
      <c r="G143" s="11" t="s">
        <v>26</v>
      </c>
      <c r="H143" s="12">
        <f>42986.75/1000</f>
        <v>42.986750000000001</v>
      </c>
      <c r="I143" s="20">
        <f t="shared" si="13"/>
        <v>60.892400000000002</v>
      </c>
      <c r="J143" s="11" t="s">
        <v>26</v>
      </c>
      <c r="K143" s="24">
        <f>(56782.05+4110.35)/1000</f>
        <v>60.892400000000002</v>
      </c>
      <c r="L143" s="2"/>
    </row>
    <row r="144" spans="2:12" ht="53.25" customHeight="1" x14ac:dyDescent="0.25">
      <c r="B144" s="163"/>
      <c r="C144" s="188" t="s">
        <v>61</v>
      </c>
      <c r="D144" s="167"/>
      <c r="E144" s="13" t="s">
        <v>26</v>
      </c>
      <c r="F144" s="14">
        <f t="shared" si="9"/>
        <v>56.425781594767003</v>
      </c>
      <c r="G144" s="13" t="s">
        <v>26</v>
      </c>
      <c r="H144" s="14">
        <f>56425.781594767/1000</f>
        <v>56.425781594767003</v>
      </c>
      <c r="I144" s="62">
        <f t="shared" si="13"/>
        <v>52.274650000000001</v>
      </c>
      <c r="J144" s="13" t="s">
        <v>26</v>
      </c>
      <c r="K144" s="25">
        <f>52274.65/1000</f>
        <v>52.274650000000001</v>
      </c>
      <c r="L144" s="2"/>
    </row>
    <row r="145" spans="1:13" ht="53.25" customHeight="1" x14ac:dyDescent="0.25">
      <c r="B145" s="163"/>
      <c r="C145" s="179" t="s">
        <v>62</v>
      </c>
      <c r="D145" s="180"/>
      <c r="E145" s="11" t="s">
        <v>26</v>
      </c>
      <c r="F145" s="12">
        <f t="shared" si="9"/>
        <v>0</v>
      </c>
      <c r="G145" s="11" t="s">
        <v>26</v>
      </c>
      <c r="H145" s="12">
        <v>0</v>
      </c>
      <c r="I145" s="20">
        <f t="shared" si="13"/>
        <v>-40.452980000000004</v>
      </c>
      <c r="J145" s="11" t="s">
        <v>26</v>
      </c>
      <c r="K145" s="24">
        <f>-40452.98/1000</f>
        <v>-40.452980000000004</v>
      </c>
      <c r="L145" s="2"/>
    </row>
    <row r="146" spans="1:13" ht="42" customHeight="1" thickBot="1" x14ac:dyDescent="0.3">
      <c r="B146" s="151"/>
      <c r="C146" s="181" t="s">
        <v>68</v>
      </c>
      <c r="D146" s="182"/>
      <c r="E146" s="38" t="s">
        <v>26</v>
      </c>
      <c r="F146" s="39">
        <f>H146</f>
        <v>388.77072195666301</v>
      </c>
      <c r="G146" s="38" t="s">
        <v>26</v>
      </c>
      <c r="H146" s="54">
        <f>388770.721956663/1000</f>
        <v>388.77072195666301</v>
      </c>
      <c r="I146" s="40">
        <f>K146</f>
        <v>388.77072195666301</v>
      </c>
      <c r="J146" s="38" t="s">
        <v>26</v>
      </c>
      <c r="K146" s="41">
        <f>H146</f>
        <v>388.77072195666301</v>
      </c>
      <c r="L146" s="2"/>
    </row>
    <row r="147" spans="1:13" ht="15" customHeight="1" thickBot="1" x14ac:dyDescent="0.3">
      <c r="B147" s="66"/>
      <c r="C147" s="67"/>
      <c r="D147" s="68"/>
      <c r="E147" s="63"/>
      <c r="F147" s="37"/>
      <c r="G147" s="63"/>
      <c r="H147" s="37"/>
      <c r="I147" s="64"/>
      <c r="J147" s="63"/>
      <c r="K147" s="65"/>
      <c r="L147" s="2"/>
    </row>
    <row r="148" spans="1:13" ht="53.25" customHeight="1" thickBot="1" x14ac:dyDescent="0.3">
      <c r="B148" s="69" t="s">
        <v>171</v>
      </c>
      <c r="C148" s="70" t="s">
        <v>172</v>
      </c>
      <c r="D148" s="70" t="s">
        <v>173</v>
      </c>
      <c r="E148" s="71">
        <f>807014.98/1000</f>
        <v>807.01498000000004</v>
      </c>
      <c r="F148" s="72">
        <f>H148</f>
        <v>807.01498000000004</v>
      </c>
      <c r="G148" s="70" t="s">
        <v>174</v>
      </c>
      <c r="H148" s="72">
        <f>807014.98/1000</f>
        <v>807.01498000000004</v>
      </c>
      <c r="I148" s="71">
        <f t="shared" si="13"/>
        <v>807.01498000000004</v>
      </c>
      <c r="J148" s="71" t="s">
        <v>175</v>
      </c>
      <c r="K148" s="73">
        <f>807014.98/1000</f>
        <v>807.01498000000004</v>
      </c>
      <c r="L148" s="2"/>
    </row>
    <row r="149" spans="1:13" s="74" customFormat="1" ht="15" customHeight="1" thickBot="1" x14ac:dyDescent="0.3">
      <c r="A149" s="2"/>
      <c r="B149" s="228"/>
      <c r="C149" s="184"/>
      <c r="D149" s="184"/>
      <c r="E149" s="184"/>
      <c r="F149" s="184"/>
      <c r="G149" s="184"/>
      <c r="H149" s="184"/>
      <c r="I149" s="184"/>
      <c r="J149" s="184"/>
      <c r="K149" s="229"/>
      <c r="L149" s="2"/>
      <c r="M149" s="2"/>
    </row>
    <row r="150" spans="1:13" ht="47.25" customHeight="1" thickBot="1" x14ac:dyDescent="0.3">
      <c r="B150" s="75" t="s">
        <v>176</v>
      </c>
      <c r="C150" s="223" t="s">
        <v>177</v>
      </c>
      <c r="D150" s="224"/>
      <c r="E150" s="76" t="s">
        <v>26</v>
      </c>
      <c r="F150" s="72">
        <f>H150</f>
        <v>9.5</v>
      </c>
      <c r="G150" s="70" t="s">
        <v>178</v>
      </c>
      <c r="H150" s="72">
        <v>9.5</v>
      </c>
      <c r="I150" s="72" t="s">
        <v>26</v>
      </c>
      <c r="J150" s="72" t="s">
        <v>26</v>
      </c>
      <c r="K150" s="77" t="s">
        <v>26</v>
      </c>
      <c r="L150" s="2"/>
    </row>
    <row r="151" spans="1:13" ht="16.5" thickBot="1" x14ac:dyDescent="0.3">
      <c r="B151" s="78"/>
      <c r="C151" s="79"/>
      <c r="D151" s="79"/>
      <c r="E151" s="79"/>
      <c r="F151" s="79"/>
      <c r="G151" s="79"/>
      <c r="H151" s="79"/>
      <c r="I151" s="79"/>
      <c r="J151" s="79"/>
      <c r="K151" s="80"/>
      <c r="L151" s="2"/>
    </row>
    <row r="152" spans="1:13" ht="30" x14ac:dyDescent="0.25">
      <c r="B152" s="225" t="s">
        <v>179</v>
      </c>
      <c r="C152" s="34" t="s">
        <v>180</v>
      </c>
      <c r="D152" s="34" t="s">
        <v>181</v>
      </c>
      <c r="E152" s="48">
        <v>531.99120000000005</v>
      </c>
      <c r="F152" s="35">
        <f>H152</f>
        <v>531.99120000000005</v>
      </c>
      <c r="G152" s="81" t="s">
        <v>182</v>
      </c>
      <c r="H152" s="35">
        <v>531.99120000000005</v>
      </c>
      <c r="I152" s="35" t="s">
        <v>26</v>
      </c>
      <c r="J152" s="35" t="s">
        <v>26</v>
      </c>
      <c r="K152" s="36" t="s">
        <v>26</v>
      </c>
      <c r="L152" s="2"/>
    </row>
    <row r="153" spans="1:13" ht="30" x14ac:dyDescent="0.25">
      <c r="B153" s="226"/>
      <c r="C153" s="183" t="s">
        <v>183</v>
      </c>
      <c r="D153" s="183" t="s">
        <v>184</v>
      </c>
      <c r="E153" s="201">
        <v>1637.6</v>
      </c>
      <c r="F153" s="201">
        <f>H153+H154</f>
        <v>1637.6</v>
      </c>
      <c r="G153" s="82" t="s">
        <v>185</v>
      </c>
      <c r="H153" s="12">
        <v>818.8</v>
      </c>
      <c r="I153" s="12" t="s">
        <v>26</v>
      </c>
      <c r="J153" s="12" t="s">
        <v>26</v>
      </c>
      <c r="K153" s="17" t="s">
        <v>26</v>
      </c>
      <c r="L153" s="2"/>
    </row>
    <row r="154" spans="1:13" ht="30" x14ac:dyDescent="0.25">
      <c r="B154" s="226"/>
      <c r="C154" s="183"/>
      <c r="D154" s="183"/>
      <c r="E154" s="201"/>
      <c r="F154" s="201"/>
      <c r="G154" s="82" t="s">
        <v>186</v>
      </c>
      <c r="H154" s="12">
        <v>818.8</v>
      </c>
      <c r="I154" s="12" t="s">
        <v>26</v>
      </c>
      <c r="J154" s="12" t="s">
        <v>26</v>
      </c>
      <c r="K154" s="17" t="s">
        <v>26</v>
      </c>
      <c r="L154" s="2"/>
    </row>
    <row r="155" spans="1:13" ht="30" x14ac:dyDescent="0.25">
      <c r="B155" s="226"/>
      <c r="C155" s="11" t="s">
        <v>187</v>
      </c>
      <c r="D155" s="11" t="s">
        <v>188</v>
      </c>
      <c r="E155" s="12">
        <v>3685</v>
      </c>
      <c r="F155" s="12">
        <f>H155</f>
        <v>3685</v>
      </c>
      <c r="G155" s="82" t="s">
        <v>189</v>
      </c>
      <c r="H155" s="12">
        <v>3685</v>
      </c>
      <c r="I155" s="12" t="s">
        <v>26</v>
      </c>
      <c r="J155" s="12" t="s">
        <v>26</v>
      </c>
      <c r="K155" s="17" t="s">
        <v>26</v>
      </c>
      <c r="L155" s="2"/>
    </row>
    <row r="156" spans="1:13" ht="30" customHeight="1" x14ac:dyDescent="0.25">
      <c r="B156" s="226"/>
      <c r="C156" s="183" t="s">
        <v>183</v>
      </c>
      <c r="D156" s="183" t="s">
        <v>190</v>
      </c>
      <c r="E156" s="201">
        <v>4849.92</v>
      </c>
      <c r="F156" s="201">
        <f>H156+H157+H158+H159+H160+H161</f>
        <v>4849.92</v>
      </c>
      <c r="G156" s="12" t="s">
        <v>191</v>
      </c>
      <c r="H156" s="12">
        <v>808.32</v>
      </c>
      <c r="I156" s="201">
        <f>K156+K159</f>
        <v>1616.64</v>
      </c>
      <c r="J156" s="201" t="s">
        <v>192</v>
      </c>
      <c r="K156" s="208">
        <v>808.32</v>
      </c>
      <c r="L156" s="2"/>
    </row>
    <row r="157" spans="1:13" ht="30" x14ac:dyDescent="0.25">
      <c r="B157" s="226"/>
      <c r="C157" s="183"/>
      <c r="D157" s="183"/>
      <c r="E157" s="201"/>
      <c r="F157" s="201"/>
      <c r="G157" s="12" t="s">
        <v>193</v>
      </c>
      <c r="H157" s="12">
        <v>808.32</v>
      </c>
      <c r="I157" s="201"/>
      <c r="J157" s="201"/>
      <c r="K157" s="208"/>
      <c r="L157" s="2"/>
    </row>
    <row r="158" spans="1:13" ht="30" x14ac:dyDescent="0.25">
      <c r="B158" s="226"/>
      <c r="C158" s="183"/>
      <c r="D158" s="183"/>
      <c r="E158" s="201"/>
      <c r="F158" s="201"/>
      <c r="G158" s="12" t="s">
        <v>194</v>
      </c>
      <c r="H158" s="12">
        <v>808.32</v>
      </c>
      <c r="I158" s="201"/>
      <c r="J158" s="201"/>
      <c r="K158" s="208"/>
      <c r="L158" s="2"/>
    </row>
    <row r="159" spans="1:13" ht="30" customHeight="1" x14ac:dyDescent="0.25">
      <c r="B159" s="226"/>
      <c r="C159" s="183"/>
      <c r="D159" s="183"/>
      <c r="E159" s="201"/>
      <c r="F159" s="201"/>
      <c r="G159" s="82" t="s">
        <v>195</v>
      </c>
      <c r="H159" s="12">
        <v>808.32</v>
      </c>
      <c r="I159" s="201"/>
      <c r="J159" s="201" t="s">
        <v>196</v>
      </c>
      <c r="K159" s="208">
        <v>808.32</v>
      </c>
      <c r="L159" s="2"/>
    </row>
    <row r="160" spans="1:13" ht="30" x14ac:dyDescent="0.25">
      <c r="B160" s="226"/>
      <c r="C160" s="183"/>
      <c r="D160" s="183"/>
      <c r="E160" s="201"/>
      <c r="F160" s="201"/>
      <c r="G160" s="82" t="s">
        <v>197</v>
      </c>
      <c r="H160" s="12">
        <v>808.32</v>
      </c>
      <c r="I160" s="201"/>
      <c r="J160" s="201"/>
      <c r="K160" s="208"/>
      <c r="L160" s="2"/>
    </row>
    <row r="161" spans="2:12" ht="32.25" customHeight="1" x14ac:dyDescent="0.25">
      <c r="B161" s="226"/>
      <c r="C161" s="183"/>
      <c r="D161" s="183"/>
      <c r="E161" s="201"/>
      <c r="F161" s="201"/>
      <c r="G161" s="82" t="s">
        <v>198</v>
      </c>
      <c r="H161" s="12">
        <v>808.32</v>
      </c>
      <c r="I161" s="201"/>
      <c r="J161" s="201"/>
      <c r="K161" s="208"/>
      <c r="L161" s="2"/>
    </row>
    <row r="162" spans="2:12" ht="30" x14ac:dyDescent="0.25">
      <c r="B162" s="226"/>
      <c r="C162" s="183" t="s">
        <v>199</v>
      </c>
      <c r="D162" s="183"/>
      <c r="E162" s="12" t="s">
        <v>26</v>
      </c>
      <c r="F162" s="12">
        <f>H162</f>
        <v>2.85</v>
      </c>
      <c r="G162" s="12" t="s">
        <v>200</v>
      </c>
      <c r="H162" s="12">
        <v>2.85</v>
      </c>
      <c r="I162" s="12">
        <f>K162</f>
        <v>2.85</v>
      </c>
      <c r="J162" s="12" t="s">
        <v>26</v>
      </c>
      <c r="K162" s="17">
        <v>2.85</v>
      </c>
      <c r="L162" s="2"/>
    </row>
    <row r="163" spans="2:12" ht="45" x14ac:dyDescent="0.25">
      <c r="B163" s="226"/>
      <c r="C163" s="11" t="s">
        <v>43</v>
      </c>
      <c r="D163" s="11" t="s">
        <v>44</v>
      </c>
      <c r="E163" s="12" t="s">
        <v>26</v>
      </c>
      <c r="F163" s="12" t="s">
        <v>26</v>
      </c>
      <c r="G163" s="12" t="s">
        <v>26</v>
      </c>
      <c r="H163" s="12" t="s">
        <v>26</v>
      </c>
      <c r="I163" s="12">
        <f>K163</f>
        <v>10.831490000000001</v>
      </c>
      <c r="J163" s="12" t="s">
        <v>79</v>
      </c>
      <c r="K163" s="17">
        <v>10.831490000000001</v>
      </c>
      <c r="L163" s="2"/>
    </row>
    <row r="164" spans="2:12" ht="45" x14ac:dyDescent="0.25">
      <c r="B164" s="226"/>
      <c r="C164" s="11" t="s">
        <v>43</v>
      </c>
      <c r="D164" s="11" t="s">
        <v>44</v>
      </c>
      <c r="E164" s="12" t="s">
        <v>26</v>
      </c>
      <c r="F164" s="12" t="s">
        <v>26</v>
      </c>
      <c r="G164" s="12" t="s">
        <v>26</v>
      </c>
      <c r="H164" s="12" t="s">
        <v>26</v>
      </c>
      <c r="I164" s="12">
        <f>K164</f>
        <v>10.831490000000001</v>
      </c>
      <c r="J164" s="12" t="s">
        <v>201</v>
      </c>
      <c r="K164" s="17">
        <v>10.831490000000001</v>
      </c>
      <c r="L164" s="2"/>
    </row>
    <row r="165" spans="2:12" ht="60" x14ac:dyDescent="0.25">
      <c r="B165" s="226"/>
      <c r="C165" s="11" t="s">
        <v>202</v>
      </c>
      <c r="D165" s="11" t="s">
        <v>203</v>
      </c>
      <c r="E165" s="12">
        <v>4994</v>
      </c>
      <c r="F165" s="12">
        <f>H165</f>
        <v>4994</v>
      </c>
      <c r="G165" s="82" t="s">
        <v>204</v>
      </c>
      <c r="H165" s="12">
        <v>4994</v>
      </c>
      <c r="I165" s="12" t="s">
        <v>26</v>
      </c>
      <c r="J165" s="12" t="s">
        <v>26</v>
      </c>
      <c r="K165" s="17" t="s">
        <v>26</v>
      </c>
      <c r="L165" s="2"/>
    </row>
    <row r="166" spans="2:12" ht="45" x14ac:dyDescent="0.25">
      <c r="B166" s="226"/>
      <c r="C166" s="11" t="s">
        <v>187</v>
      </c>
      <c r="D166" s="11" t="s">
        <v>205</v>
      </c>
      <c r="E166" s="12">
        <v>2524</v>
      </c>
      <c r="F166" s="12">
        <f t="shared" ref="F166:F181" si="14">H166</f>
        <v>2524</v>
      </c>
      <c r="G166" s="82" t="s">
        <v>206</v>
      </c>
      <c r="H166" s="12">
        <v>2524</v>
      </c>
      <c r="I166" s="12" t="s">
        <v>26</v>
      </c>
      <c r="J166" s="12" t="s">
        <v>26</v>
      </c>
      <c r="K166" s="17" t="s">
        <v>26</v>
      </c>
      <c r="L166" s="2"/>
    </row>
    <row r="167" spans="2:12" ht="60" x14ac:dyDescent="0.25">
      <c r="B167" s="226"/>
      <c r="C167" s="11" t="s">
        <v>187</v>
      </c>
      <c r="D167" s="11" t="s">
        <v>207</v>
      </c>
      <c r="E167" s="12">
        <v>17100</v>
      </c>
      <c r="F167" s="12">
        <f t="shared" si="14"/>
        <v>11400</v>
      </c>
      <c r="G167" s="82" t="s">
        <v>208</v>
      </c>
      <c r="H167" s="12">
        <v>11400</v>
      </c>
      <c r="I167" s="12">
        <f>K167</f>
        <v>11400</v>
      </c>
      <c r="J167" s="12" t="s">
        <v>209</v>
      </c>
      <c r="K167" s="17">
        <v>11400</v>
      </c>
      <c r="L167" s="2"/>
    </row>
    <row r="168" spans="2:12" ht="30" x14ac:dyDescent="0.25">
      <c r="B168" s="226"/>
      <c r="C168" s="183" t="s">
        <v>183</v>
      </c>
      <c r="D168" s="183" t="s">
        <v>210</v>
      </c>
      <c r="E168" s="201">
        <v>2068</v>
      </c>
      <c r="F168" s="201">
        <f>H168+H169</f>
        <v>2068</v>
      </c>
      <c r="G168" s="82" t="s">
        <v>211</v>
      </c>
      <c r="H168" s="12">
        <v>1034</v>
      </c>
      <c r="I168" s="201">
        <f>K168+K169</f>
        <v>2068</v>
      </c>
      <c r="J168" s="12" t="s">
        <v>212</v>
      </c>
      <c r="K168" s="17">
        <v>1034</v>
      </c>
      <c r="L168" s="2"/>
    </row>
    <row r="169" spans="2:12" ht="30" x14ac:dyDescent="0.25">
      <c r="B169" s="226"/>
      <c r="C169" s="183"/>
      <c r="D169" s="183"/>
      <c r="E169" s="201"/>
      <c r="F169" s="201"/>
      <c r="G169" s="82" t="s">
        <v>213</v>
      </c>
      <c r="H169" s="12">
        <v>1034</v>
      </c>
      <c r="I169" s="201"/>
      <c r="J169" s="12" t="s">
        <v>214</v>
      </c>
      <c r="K169" s="17">
        <v>1034</v>
      </c>
      <c r="L169" s="2"/>
    </row>
    <row r="170" spans="2:12" ht="45" x14ac:dyDescent="0.25">
      <c r="B170" s="226"/>
      <c r="C170" s="11" t="s">
        <v>43</v>
      </c>
      <c r="D170" s="11" t="s">
        <v>44</v>
      </c>
      <c r="E170" s="12" t="s">
        <v>26</v>
      </c>
      <c r="F170" s="12">
        <f>H170</f>
        <v>65.969200000000001</v>
      </c>
      <c r="G170" s="12" t="s">
        <v>215</v>
      </c>
      <c r="H170" s="12">
        <v>65.969200000000001</v>
      </c>
      <c r="I170" s="12">
        <f>K170</f>
        <v>65.969200000000001</v>
      </c>
      <c r="J170" s="12" t="s">
        <v>79</v>
      </c>
      <c r="K170" s="17">
        <v>65.969200000000001</v>
      </c>
      <c r="L170" s="2"/>
    </row>
    <row r="171" spans="2:12" ht="45" x14ac:dyDescent="0.25">
      <c r="B171" s="226"/>
      <c r="C171" s="183" t="s">
        <v>187</v>
      </c>
      <c r="D171" s="183" t="s">
        <v>216</v>
      </c>
      <c r="E171" s="201">
        <v>12210</v>
      </c>
      <c r="F171" s="201">
        <f>H171+H172+H173+H174</f>
        <v>12210</v>
      </c>
      <c r="G171" s="222" t="s">
        <v>217</v>
      </c>
      <c r="H171" s="201">
        <v>12210</v>
      </c>
      <c r="I171" s="201">
        <f>K171+K172+K173+K174</f>
        <v>12210</v>
      </c>
      <c r="J171" s="12" t="s">
        <v>218</v>
      </c>
      <c r="K171" s="17">
        <v>3850</v>
      </c>
      <c r="L171" s="2"/>
    </row>
    <row r="172" spans="2:12" ht="45" x14ac:dyDescent="0.25">
      <c r="B172" s="226"/>
      <c r="C172" s="183"/>
      <c r="D172" s="183"/>
      <c r="E172" s="201"/>
      <c r="F172" s="201"/>
      <c r="G172" s="222"/>
      <c r="H172" s="201"/>
      <c r="I172" s="201"/>
      <c r="J172" s="12" t="s">
        <v>219</v>
      </c>
      <c r="K172" s="17">
        <v>3850</v>
      </c>
      <c r="L172" s="2"/>
    </row>
    <row r="173" spans="2:12" ht="45" x14ac:dyDescent="0.25">
      <c r="B173" s="226"/>
      <c r="C173" s="183"/>
      <c r="D173" s="183"/>
      <c r="E173" s="201"/>
      <c r="F173" s="201"/>
      <c r="G173" s="222"/>
      <c r="H173" s="201"/>
      <c r="I173" s="201"/>
      <c r="J173" s="12" t="s">
        <v>220</v>
      </c>
      <c r="K173" s="17">
        <v>3850</v>
      </c>
      <c r="L173" s="2"/>
    </row>
    <row r="174" spans="2:12" ht="45" x14ac:dyDescent="0.25">
      <c r="B174" s="226"/>
      <c r="C174" s="183"/>
      <c r="D174" s="183"/>
      <c r="E174" s="201"/>
      <c r="F174" s="201"/>
      <c r="G174" s="222"/>
      <c r="H174" s="201"/>
      <c r="I174" s="201"/>
      <c r="J174" s="12" t="s">
        <v>221</v>
      </c>
      <c r="K174" s="17">
        <v>660</v>
      </c>
      <c r="L174" s="2"/>
    </row>
    <row r="175" spans="2:12" ht="45" x14ac:dyDescent="0.25">
      <c r="B175" s="226"/>
      <c r="C175" s="11" t="s">
        <v>199</v>
      </c>
      <c r="D175" s="11"/>
      <c r="E175" s="12" t="s">
        <v>26</v>
      </c>
      <c r="F175" s="12">
        <f>H175</f>
        <v>8.25</v>
      </c>
      <c r="G175" s="12" t="s">
        <v>222</v>
      </c>
      <c r="H175" s="12">
        <f>2.75*3</f>
        <v>8.25</v>
      </c>
      <c r="I175" s="12">
        <f>K175</f>
        <v>8.25</v>
      </c>
      <c r="J175" s="12" t="s">
        <v>26</v>
      </c>
      <c r="K175" s="17">
        <f>2.75*3</f>
        <v>8.25</v>
      </c>
      <c r="L175" s="2"/>
    </row>
    <row r="176" spans="2:12" ht="45" x14ac:dyDescent="0.25">
      <c r="B176" s="226"/>
      <c r="C176" s="11" t="s">
        <v>43</v>
      </c>
      <c r="D176" s="11" t="s">
        <v>44</v>
      </c>
      <c r="E176" s="12" t="s">
        <v>26</v>
      </c>
      <c r="F176" s="12" t="s">
        <v>26</v>
      </c>
      <c r="G176" s="12" t="s">
        <v>26</v>
      </c>
      <c r="H176" s="12" t="s">
        <v>26</v>
      </c>
      <c r="I176" s="12">
        <f>K176</f>
        <v>374.84700000000004</v>
      </c>
      <c r="J176" s="12" t="s">
        <v>79</v>
      </c>
      <c r="K176" s="17">
        <f>20.262+(590.975/5)*3</f>
        <v>374.84700000000004</v>
      </c>
      <c r="L176" s="2"/>
    </row>
    <row r="177" spans="2:12" ht="30" x14ac:dyDescent="0.25">
      <c r="B177" s="226"/>
      <c r="C177" s="183" t="s">
        <v>183</v>
      </c>
      <c r="D177" s="183" t="s">
        <v>223</v>
      </c>
      <c r="E177" s="201">
        <v>1330</v>
      </c>
      <c r="F177" s="12">
        <f t="shared" si="14"/>
        <v>665</v>
      </c>
      <c r="G177" s="82" t="s">
        <v>224</v>
      </c>
      <c r="H177" s="12">
        <v>665</v>
      </c>
      <c r="I177" s="201">
        <f>K177+K178</f>
        <v>1330</v>
      </c>
      <c r="J177" s="12" t="s">
        <v>225</v>
      </c>
      <c r="K177" s="17">
        <v>665</v>
      </c>
      <c r="L177" s="2"/>
    </row>
    <row r="178" spans="2:12" ht="30" x14ac:dyDescent="0.25">
      <c r="B178" s="226"/>
      <c r="C178" s="183"/>
      <c r="D178" s="183"/>
      <c r="E178" s="201"/>
      <c r="F178" s="12">
        <f t="shared" si="14"/>
        <v>665</v>
      </c>
      <c r="G178" s="82" t="s">
        <v>226</v>
      </c>
      <c r="H178" s="12">
        <v>665</v>
      </c>
      <c r="I178" s="201"/>
      <c r="J178" s="12" t="s">
        <v>227</v>
      </c>
      <c r="K178" s="17">
        <v>665</v>
      </c>
      <c r="L178" s="2"/>
    </row>
    <row r="179" spans="2:12" ht="45" x14ac:dyDescent="0.25">
      <c r="B179" s="226"/>
      <c r="C179" s="11" t="s">
        <v>43</v>
      </c>
      <c r="D179" s="11" t="s">
        <v>44</v>
      </c>
      <c r="E179" s="12" t="s">
        <v>26</v>
      </c>
      <c r="F179" s="12" t="s">
        <v>26</v>
      </c>
      <c r="G179" s="12" t="s">
        <v>26</v>
      </c>
      <c r="H179" s="12" t="s">
        <v>26</v>
      </c>
      <c r="I179" s="12">
        <f>K179</f>
        <v>5.0540000000000003</v>
      </c>
      <c r="J179" s="12" t="s">
        <v>201</v>
      </c>
      <c r="K179" s="17">
        <v>5.0540000000000003</v>
      </c>
      <c r="L179" s="2"/>
    </row>
    <row r="180" spans="2:12" ht="45" x14ac:dyDescent="0.25">
      <c r="B180" s="226"/>
      <c r="C180" s="183" t="s">
        <v>199</v>
      </c>
      <c r="D180" s="183"/>
      <c r="E180" s="12" t="s">
        <v>26</v>
      </c>
      <c r="F180" s="12">
        <f>H180</f>
        <v>5.7</v>
      </c>
      <c r="G180" s="82" t="s">
        <v>228</v>
      </c>
      <c r="H180" s="12">
        <f>2.85*2</f>
        <v>5.7</v>
      </c>
      <c r="I180" s="12">
        <f>K180</f>
        <v>5.7</v>
      </c>
      <c r="J180" s="12" t="s">
        <v>26</v>
      </c>
      <c r="K180" s="17">
        <v>5.7</v>
      </c>
      <c r="L180" s="2"/>
    </row>
    <row r="181" spans="2:12" ht="30" x14ac:dyDescent="0.25">
      <c r="B181" s="226"/>
      <c r="C181" s="183" t="s">
        <v>202</v>
      </c>
      <c r="D181" s="183" t="s">
        <v>229</v>
      </c>
      <c r="E181" s="201">
        <v>35960</v>
      </c>
      <c r="F181" s="201">
        <f t="shared" si="14"/>
        <v>21576</v>
      </c>
      <c r="G181" s="222" t="s">
        <v>230</v>
      </c>
      <c r="H181" s="201">
        <v>21576</v>
      </c>
      <c r="I181" s="201">
        <f>K181+K182+K183</f>
        <v>21576</v>
      </c>
      <c r="J181" s="12" t="s">
        <v>231</v>
      </c>
      <c r="K181" s="17">
        <v>7192</v>
      </c>
      <c r="L181" s="2"/>
    </row>
    <row r="182" spans="2:12" ht="30" x14ac:dyDescent="0.25">
      <c r="B182" s="226"/>
      <c r="C182" s="183"/>
      <c r="D182" s="183"/>
      <c r="E182" s="201"/>
      <c r="F182" s="201"/>
      <c r="G182" s="222"/>
      <c r="H182" s="201"/>
      <c r="I182" s="201"/>
      <c r="J182" s="12" t="s">
        <v>232</v>
      </c>
      <c r="K182" s="17">
        <v>10788</v>
      </c>
      <c r="L182" s="2"/>
    </row>
    <row r="183" spans="2:12" ht="45" x14ac:dyDescent="0.25">
      <c r="B183" s="226"/>
      <c r="C183" s="183"/>
      <c r="D183" s="183"/>
      <c r="E183" s="201"/>
      <c r="F183" s="201"/>
      <c r="G183" s="222"/>
      <c r="H183" s="201"/>
      <c r="I183" s="201"/>
      <c r="J183" s="12" t="s">
        <v>233</v>
      </c>
      <c r="K183" s="17">
        <f>1798*2</f>
        <v>3596</v>
      </c>
      <c r="L183" s="2"/>
    </row>
    <row r="184" spans="2:12" ht="75" x14ac:dyDescent="0.25">
      <c r="B184" s="226"/>
      <c r="C184" s="183" t="s">
        <v>199</v>
      </c>
      <c r="D184" s="183"/>
      <c r="E184" s="12" t="s">
        <v>26</v>
      </c>
      <c r="F184" s="12">
        <f>H184</f>
        <v>17.100000000000001</v>
      </c>
      <c r="G184" s="82" t="s">
        <v>234</v>
      </c>
      <c r="H184" s="12">
        <f>2.85*6</f>
        <v>17.100000000000001</v>
      </c>
      <c r="I184" s="12">
        <f t="shared" ref="I184:I198" si="15">K184</f>
        <v>17.100000000000001</v>
      </c>
      <c r="J184" s="12" t="s">
        <v>26</v>
      </c>
      <c r="K184" s="17">
        <v>17.100000000000001</v>
      </c>
      <c r="L184" s="2"/>
    </row>
    <row r="185" spans="2:12" ht="45" x14ac:dyDescent="0.25">
      <c r="B185" s="226"/>
      <c r="C185" s="11" t="s">
        <v>43</v>
      </c>
      <c r="D185" s="11" t="s">
        <v>44</v>
      </c>
      <c r="E185" s="12" t="s">
        <v>26</v>
      </c>
      <c r="F185" s="12" t="s">
        <v>26</v>
      </c>
      <c r="G185" s="12" t="s">
        <v>26</v>
      </c>
      <c r="H185" s="12" t="s">
        <v>26</v>
      </c>
      <c r="I185" s="12">
        <f t="shared" si="15"/>
        <v>1812.384</v>
      </c>
      <c r="J185" s="12" t="s">
        <v>201</v>
      </c>
      <c r="K185" s="17">
        <f>151.032*12</f>
        <v>1812.384</v>
      </c>
      <c r="L185" s="2"/>
    </row>
    <row r="186" spans="2:12" ht="45" x14ac:dyDescent="0.25">
      <c r="B186" s="226"/>
      <c r="C186" s="11" t="s">
        <v>235</v>
      </c>
      <c r="D186" s="11" t="s">
        <v>236</v>
      </c>
      <c r="E186" s="12">
        <v>1313.30756</v>
      </c>
      <c r="F186" s="12">
        <f t="shared" ref="F186:F198" si="16">H186</f>
        <v>1313.30756</v>
      </c>
      <c r="G186" s="12" t="s">
        <v>237</v>
      </c>
      <c r="H186" s="12">
        <v>1313.30756</v>
      </c>
      <c r="I186" s="12">
        <f t="shared" si="15"/>
        <v>1313.30756</v>
      </c>
      <c r="J186" s="12" t="s">
        <v>238</v>
      </c>
      <c r="K186" s="17">
        <v>1313.30756</v>
      </c>
      <c r="L186" s="2"/>
    </row>
    <row r="187" spans="2:12" ht="45" x14ac:dyDescent="0.25">
      <c r="B187" s="226"/>
      <c r="C187" s="11" t="s">
        <v>43</v>
      </c>
      <c r="D187" s="11" t="s">
        <v>44</v>
      </c>
      <c r="E187" s="12" t="s">
        <v>26</v>
      </c>
      <c r="F187" s="12">
        <f t="shared" si="16"/>
        <v>63.30142</v>
      </c>
      <c r="G187" s="12" t="s">
        <v>239</v>
      </c>
      <c r="H187" s="12">
        <v>63.30142</v>
      </c>
      <c r="I187" s="12">
        <f t="shared" si="15"/>
        <v>63.30142</v>
      </c>
      <c r="J187" s="12" t="s">
        <v>240</v>
      </c>
      <c r="K187" s="17">
        <v>63.30142</v>
      </c>
      <c r="L187" s="2"/>
    </row>
    <row r="188" spans="2:12" ht="54.75" customHeight="1" x14ac:dyDescent="0.25">
      <c r="B188" s="226"/>
      <c r="C188" s="11" t="s">
        <v>241</v>
      </c>
      <c r="D188" s="11" t="s">
        <v>242</v>
      </c>
      <c r="E188" s="12">
        <v>3979.806</v>
      </c>
      <c r="F188" s="12">
        <f t="shared" si="16"/>
        <v>3979.806</v>
      </c>
      <c r="G188" s="12" t="s">
        <v>243</v>
      </c>
      <c r="H188" s="12">
        <v>3979.806</v>
      </c>
      <c r="I188" s="12">
        <f t="shared" si="15"/>
        <v>3979.806</v>
      </c>
      <c r="J188" s="12" t="s">
        <v>244</v>
      </c>
      <c r="K188" s="17">
        <v>3979.806</v>
      </c>
      <c r="L188" s="2"/>
    </row>
    <row r="189" spans="2:12" ht="51" customHeight="1" x14ac:dyDescent="0.25">
      <c r="B189" s="226"/>
      <c r="C189" s="11" t="s">
        <v>43</v>
      </c>
      <c r="D189" s="11" t="s">
        <v>44</v>
      </c>
      <c r="E189" s="12" t="s">
        <v>26</v>
      </c>
      <c r="F189" s="12">
        <f t="shared" si="16"/>
        <v>79.994110000000006</v>
      </c>
      <c r="G189" s="12" t="s">
        <v>239</v>
      </c>
      <c r="H189" s="12">
        <v>79.994110000000006</v>
      </c>
      <c r="I189" s="12">
        <f t="shared" si="15"/>
        <v>79.994110000000006</v>
      </c>
      <c r="J189" s="12" t="s">
        <v>245</v>
      </c>
      <c r="K189" s="17">
        <v>79.994110000000006</v>
      </c>
      <c r="L189" s="2"/>
    </row>
    <row r="190" spans="2:12" ht="54.75" customHeight="1" x14ac:dyDescent="0.25">
      <c r="B190" s="226"/>
      <c r="C190" s="11" t="s">
        <v>246</v>
      </c>
      <c r="D190" s="11" t="s">
        <v>247</v>
      </c>
      <c r="E190" s="12">
        <v>5668.9831000000004</v>
      </c>
      <c r="F190" s="12">
        <f t="shared" si="16"/>
        <v>5668.9831000000004</v>
      </c>
      <c r="G190" s="12" t="s">
        <v>248</v>
      </c>
      <c r="H190" s="12">
        <v>5668.9831000000004</v>
      </c>
      <c r="I190" s="12">
        <f t="shared" si="15"/>
        <v>5668.9831000000004</v>
      </c>
      <c r="J190" s="12" t="s">
        <v>249</v>
      </c>
      <c r="K190" s="17">
        <v>5668.9831000000004</v>
      </c>
      <c r="L190" s="2"/>
    </row>
    <row r="191" spans="2:12" ht="49.5" customHeight="1" x14ac:dyDescent="0.25">
      <c r="B191" s="226"/>
      <c r="C191" s="11" t="s">
        <v>43</v>
      </c>
      <c r="D191" s="11" t="s">
        <v>44</v>
      </c>
      <c r="E191" s="12" t="s">
        <v>26</v>
      </c>
      <c r="F191" s="12">
        <f t="shared" si="16"/>
        <v>118.0258</v>
      </c>
      <c r="G191" s="12" t="s">
        <v>239</v>
      </c>
      <c r="H191" s="12">
        <v>118.0258</v>
      </c>
      <c r="I191" s="12">
        <f t="shared" si="15"/>
        <v>118.0258</v>
      </c>
      <c r="J191" s="12" t="s">
        <v>245</v>
      </c>
      <c r="K191" s="17">
        <v>118.0258</v>
      </c>
      <c r="L191" s="2"/>
    </row>
    <row r="192" spans="2:12" ht="52.5" customHeight="1" x14ac:dyDescent="0.25">
      <c r="B192" s="226"/>
      <c r="C192" s="11" t="s">
        <v>250</v>
      </c>
      <c r="D192" s="11" t="s">
        <v>251</v>
      </c>
      <c r="E192" s="12">
        <v>1593</v>
      </c>
      <c r="F192" s="12">
        <f t="shared" si="16"/>
        <v>1593</v>
      </c>
      <c r="G192" s="12" t="s">
        <v>252</v>
      </c>
      <c r="H192" s="12">
        <v>1593</v>
      </c>
      <c r="I192" s="12">
        <f t="shared" si="15"/>
        <v>1593</v>
      </c>
      <c r="J192" s="12" t="s">
        <v>253</v>
      </c>
      <c r="K192" s="17">
        <v>1593</v>
      </c>
      <c r="L192" s="2"/>
    </row>
    <row r="193" spans="2:12" ht="54.75" customHeight="1" x14ac:dyDescent="0.25">
      <c r="B193" s="226"/>
      <c r="C193" s="11" t="s">
        <v>43</v>
      </c>
      <c r="D193" s="11" t="s">
        <v>44</v>
      </c>
      <c r="E193" s="12" t="s">
        <v>26</v>
      </c>
      <c r="F193" s="12">
        <f t="shared" si="16"/>
        <v>13.54</v>
      </c>
      <c r="G193" s="12" t="s">
        <v>239</v>
      </c>
      <c r="H193" s="12">
        <v>13.54</v>
      </c>
      <c r="I193" s="12">
        <f t="shared" si="15"/>
        <v>13.54</v>
      </c>
      <c r="J193" s="12" t="s">
        <v>254</v>
      </c>
      <c r="K193" s="17">
        <v>13.54</v>
      </c>
      <c r="L193" s="2"/>
    </row>
    <row r="194" spans="2:12" ht="42.75" customHeight="1" x14ac:dyDescent="0.25">
      <c r="B194" s="226"/>
      <c r="C194" s="11" t="s">
        <v>255</v>
      </c>
      <c r="D194" s="11" t="s">
        <v>256</v>
      </c>
      <c r="E194" s="12">
        <f>10340000/1000</f>
        <v>10340</v>
      </c>
      <c r="F194" s="12">
        <f t="shared" si="16"/>
        <v>10340</v>
      </c>
      <c r="G194" s="12" t="s">
        <v>257</v>
      </c>
      <c r="H194" s="12">
        <f>10340000/1000</f>
        <v>10340</v>
      </c>
      <c r="I194" s="12">
        <f t="shared" si="15"/>
        <v>10340</v>
      </c>
      <c r="J194" s="12" t="s">
        <v>258</v>
      </c>
      <c r="K194" s="17">
        <f>10340000/1000</f>
        <v>10340</v>
      </c>
      <c r="L194" s="2"/>
    </row>
    <row r="195" spans="2:12" ht="36" customHeight="1" x14ac:dyDescent="0.25">
      <c r="B195" s="226"/>
      <c r="C195" s="183" t="s">
        <v>199</v>
      </c>
      <c r="D195" s="183"/>
      <c r="E195" s="12" t="s">
        <v>26</v>
      </c>
      <c r="F195" s="12">
        <f t="shared" si="16"/>
        <v>2.75</v>
      </c>
      <c r="G195" s="12" t="s">
        <v>259</v>
      </c>
      <c r="H195" s="12">
        <f>2750/1000</f>
        <v>2.75</v>
      </c>
      <c r="I195" s="12">
        <f t="shared" si="15"/>
        <v>2.75</v>
      </c>
      <c r="J195" s="12" t="s">
        <v>26</v>
      </c>
      <c r="K195" s="17">
        <f>2750/1000</f>
        <v>2.75</v>
      </c>
      <c r="L195" s="2"/>
    </row>
    <row r="196" spans="2:12" ht="42.75" customHeight="1" x14ac:dyDescent="0.25">
      <c r="B196" s="226"/>
      <c r="C196" s="11" t="s">
        <v>43</v>
      </c>
      <c r="D196" s="11" t="s">
        <v>44</v>
      </c>
      <c r="E196" s="12" t="s">
        <v>26</v>
      </c>
      <c r="F196" s="12">
        <f>H196</f>
        <v>3829.9360000000001</v>
      </c>
      <c r="G196" s="12" t="s">
        <v>45</v>
      </c>
      <c r="H196" s="12">
        <f>3829936/1000</f>
        <v>3829.9360000000001</v>
      </c>
      <c r="I196" s="12">
        <f t="shared" si="15"/>
        <v>3829.9360000000001</v>
      </c>
      <c r="J196" s="12" t="s">
        <v>46</v>
      </c>
      <c r="K196" s="17">
        <f>3829936/1000</f>
        <v>3829.9360000000001</v>
      </c>
      <c r="L196" s="2"/>
    </row>
    <row r="197" spans="2:12" ht="44.25" customHeight="1" x14ac:dyDescent="0.25">
      <c r="B197" s="226"/>
      <c r="C197" s="11" t="s">
        <v>255</v>
      </c>
      <c r="D197" s="11" t="s">
        <v>260</v>
      </c>
      <c r="E197" s="12">
        <f>990000/1000</f>
        <v>990</v>
      </c>
      <c r="F197" s="12">
        <f t="shared" si="16"/>
        <v>990</v>
      </c>
      <c r="G197" s="12" t="s">
        <v>261</v>
      </c>
      <c r="H197" s="12">
        <f>990000/1000</f>
        <v>990</v>
      </c>
      <c r="I197" s="12">
        <f t="shared" si="15"/>
        <v>990</v>
      </c>
      <c r="J197" s="12" t="s">
        <v>262</v>
      </c>
      <c r="K197" s="17">
        <f>990000/1000</f>
        <v>990</v>
      </c>
      <c r="L197" s="2"/>
    </row>
    <row r="198" spans="2:12" ht="36" customHeight="1" thickBot="1" x14ac:dyDescent="0.3">
      <c r="B198" s="227"/>
      <c r="C198" s="215" t="s">
        <v>199</v>
      </c>
      <c r="D198" s="215"/>
      <c r="E198" s="30" t="s">
        <v>26</v>
      </c>
      <c r="F198" s="30">
        <f t="shared" si="16"/>
        <v>2.35</v>
      </c>
      <c r="G198" s="30" t="s">
        <v>263</v>
      </c>
      <c r="H198" s="30">
        <f>2350/1000</f>
        <v>2.35</v>
      </c>
      <c r="I198" s="30">
        <f t="shared" si="15"/>
        <v>2.35</v>
      </c>
      <c r="J198" s="30" t="s">
        <v>26</v>
      </c>
      <c r="K198" s="51">
        <f>2350/1000</f>
        <v>2.35</v>
      </c>
      <c r="L198" s="2"/>
    </row>
    <row r="199" spans="2:12" ht="16.5" thickBot="1" x14ac:dyDescent="0.3">
      <c r="B199" s="216"/>
      <c r="C199" s="217"/>
      <c r="D199" s="217"/>
      <c r="E199" s="217"/>
      <c r="F199" s="217"/>
      <c r="G199" s="217"/>
      <c r="H199" s="217"/>
      <c r="I199" s="217"/>
      <c r="J199" s="217"/>
      <c r="K199" s="218"/>
      <c r="L199" s="2"/>
    </row>
    <row r="200" spans="2:12" ht="52.5" customHeight="1" x14ac:dyDescent="0.25">
      <c r="B200" s="219" t="s">
        <v>264</v>
      </c>
      <c r="C200" s="34" t="s">
        <v>265</v>
      </c>
      <c r="D200" s="35" t="s">
        <v>266</v>
      </c>
      <c r="E200" s="35">
        <f>19000000/1000</f>
        <v>19000</v>
      </c>
      <c r="F200" s="35">
        <f>H200</f>
        <v>2008.0414000000001</v>
      </c>
      <c r="G200" s="35" t="s">
        <v>267</v>
      </c>
      <c r="H200" s="35">
        <v>2008.0414000000001</v>
      </c>
      <c r="I200" s="35" t="s">
        <v>26</v>
      </c>
      <c r="J200" s="35" t="s">
        <v>26</v>
      </c>
      <c r="K200" s="36" t="s">
        <v>26</v>
      </c>
      <c r="L200" s="2"/>
    </row>
    <row r="201" spans="2:12" ht="69" customHeight="1" thickBot="1" x14ac:dyDescent="0.3">
      <c r="B201" s="220"/>
      <c r="C201" s="194" t="s">
        <v>70</v>
      </c>
      <c r="D201" s="166"/>
      <c r="E201" s="26" t="s">
        <v>26</v>
      </c>
      <c r="F201" s="26">
        <f>H201</f>
        <v>-68.183229999999995</v>
      </c>
      <c r="G201" s="26" t="s">
        <v>26</v>
      </c>
      <c r="H201" s="26">
        <f>-68183.23/1000</f>
        <v>-68.183229999999995</v>
      </c>
      <c r="I201" s="26" t="s">
        <v>26</v>
      </c>
      <c r="J201" s="26" t="s">
        <v>26</v>
      </c>
      <c r="K201" s="16" t="s">
        <v>26</v>
      </c>
      <c r="L201" s="2"/>
    </row>
    <row r="202" spans="2:12" ht="50.25" customHeight="1" x14ac:dyDescent="0.25">
      <c r="B202" s="212" t="s">
        <v>268</v>
      </c>
      <c r="C202" s="34" t="s">
        <v>27</v>
      </c>
      <c r="D202" s="34" t="s">
        <v>28</v>
      </c>
      <c r="E202" s="34" t="s">
        <v>29</v>
      </c>
      <c r="F202" s="35" t="str">
        <f>H202</f>
        <v>__</v>
      </c>
      <c r="G202" s="35" t="s">
        <v>26</v>
      </c>
      <c r="H202" s="35" t="s">
        <v>26</v>
      </c>
      <c r="I202" s="48">
        <f t="shared" ref="I202:I206" si="17">K202</f>
        <v>150</v>
      </c>
      <c r="J202" s="35" t="s">
        <v>42</v>
      </c>
      <c r="K202" s="36">
        <f>150000/1000</f>
        <v>150</v>
      </c>
      <c r="L202" s="2"/>
    </row>
    <row r="203" spans="2:12" ht="43.5" customHeight="1" thickBot="1" x14ac:dyDescent="0.3">
      <c r="B203" s="221"/>
      <c r="C203" s="164" t="s">
        <v>67</v>
      </c>
      <c r="D203" s="164"/>
      <c r="E203" s="23" t="s">
        <v>26</v>
      </c>
      <c r="F203" s="26">
        <f t="shared" ref="F203:F206" si="18">H203</f>
        <v>13.34202</v>
      </c>
      <c r="G203" s="23" t="s">
        <v>26</v>
      </c>
      <c r="H203" s="26">
        <f>13342.02/1000</f>
        <v>13.34202</v>
      </c>
      <c r="I203" s="27">
        <f t="shared" si="17"/>
        <v>13.34202</v>
      </c>
      <c r="J203" s="23" t="s">
        <v>26</v>
      </c>
      <c r="K203" s="28">
        <f>H203</f>
        <v>13.34202</v>
      </c>
      <c r="L203" s="2"/>
    </row>
    <row r="204" spans="2:12" ht="50.25" customHeight="1" x14ac:dyDescent="0.25">
      <c r="B204" s="212" t="s">
        <v>269</v>
      </c>
      <c r="C204" s="34" t="s">
        <v>27</v>
      </c>
      <c r="D204" s="34" t="s">
        <v>28</v>
      </c>
      <c r="E204" s="34" t="s">
        <v>29</v>
      </c>
      <c r="F204" s="35" t="str">
        <f t="shared" si="18"/>
        <v>__</v>
      </c>
      <c r="G204" s="35" t="s">
        <v>26</v>
      </c>
      <c r="H204" s="35" t="s">
        <v>26</v>
      </c>
      <c r="I204" s="48">
        <f t="shared" si="17"/>
        <v>300</v>
      </c>
      <c r="J204" s="35" t="s">
        <v>42</v>
      </c>
      <c r="K204" s="36">
        <f>300000/1000</f>
        <v>300</v>
      </c>
      <c r="L204" s="2"/>
    </row>
    <row r="205" spans="2:12" ht="57.75" customHeight="1" x14ac:dyDescent="0.25">
      <c r="B205" s="213"/>
      <c r="C205" s="11" t="s">
        <v>270</v>
      </c>
      <c r="D205" s="11" t="s">
        <v>271</v>
      </c>
      <c r="E205" s="20">
        <f>1221300/1000</f>
        <v>1221.3</v>
      </c>
      <c r="F205" s="12" t="str">
        <f t="shared" si="18"/>
        <v>__</v>
      </c>
      <c r="G205" s="12" t="s">
        <v>26</v>
      </c>
      <c r="H205" s="12" t="s">
        <v>26</v>
      </c>
      <c r="I205" s="20">
        <f>K205</f>
        <v>246.73994699999997</v>
      </c>
      <c r="J205" s="12" t="s">
        <v>272</v>
      </c>
      <c r="K205" s="17">
        <f>246739.947/1000</f>
        <v>246.73994699999997</v>
      </c>
      <c r="L205" s="2"/>
    </row>
    <row r="206" spans="2:12" ht="42" customHeight="1" x14ac:dyDescent="0.25">
      <c r="B206" s="213"/>
      <c r="C206" s="183" t="s">
        <v>67</v>
      </c>
      <c r="D206" s="183"/>
      <c r="E206" s="11" t="s">
        <v>26</v>
      </c>
      <c r="F206" s="12">
        <f t="shared" si="18"/>
        <v>26.68404</v>
      </c>
      <c r="G206" s="11" t="s">
        <v>26</v>
      </c>
      <c r="H206" s="12">
        <f>26684.04/1000</f>
        <v>26.68404</v>
      </c>
      <c r="I206" s="20">
        <f t="shared" si="17"/>
        <v>26.68404</v>
      </c>
      <c r="J206" s="11" t="s">
        <v>26</v>
      </c>
      <c r="K206" s="24">
        <f>H206</f>
        <v>26.68404</v>
      </c>
      <c r="L206" s="2"/>
    </row>
    <row r="207" spans="2:12" ht="42" customHeight="1" thickBot="1" x14ac:dyDescent="0.3">
      <c r="B207" s="214"/>
      <c r="C207" s="215" t="s">
        <v>68</v>
      </c>
      <c r="D207" s="215"/>
      <c r="E207" s="29" t="s">
        <v>26</v>
      </c>
      <c r="F207" s="30">
        <f>H207</f>
        <v>21.4419012657393</v>
      </c>
      <c r="G207" s="29" t="s">
        <v>26</v>
      </c>
      <c r="H207" s="30">
        <f>(21441.9012657393)/1000</f>
        <v>21.4419012657393</v>
      </c>
      <c r="I207" s="31">
        <f>K207</f>
        <v>21.4419012657393</v>
      </c>
      <c r="J207" s="29" t="s">
        <v>26</v>
      </c>
      <c r="K207" s="32">
        <f>H207</f>
        <v>21.4419012657393</v>
      </c>
      <c r="L207" s="2"/>
    </row>
    <row r="208" spans="2:12" ht="16.5" thickBot="1" x14ac:dyDescent="0.3">
      <c r="B208" s="202" t="s">
        <v>273</v>
      </c>
      <c r="C208" s="203"/>
      <c r="D208" s="203"/>
      <c r="E208" s="204"/>
      <c r="F208" s="83">
        <f>SUM(F9:F207)</f>
        <v>231951.40028382998</v>
      </c>
      <c r="G208" s="84"/>
      <c r="H208" s="85">
        <f>SUM(H9:H207)</f>
        <v>231951.40028382998</v>
      </c>
      <c r="I208" s="83">
        <f>SUM(I9:I207)</f>
        <v>151018.12589435349</v>
      </c>
      <c r="J208" s="52"/>
      <c r="K208" s="86">
        <f>SUM(K9:K207)</f>
        <v>151018.12589435352</v>
      </c>
      <c r="L208" s="2"/>
    </row>
    <row r="209" spans="2:12" ht="16.5" thickBot="1" x14ac:dyDescent="0.3">
      <c r="B209" s="205" t="s">
        <v>274</v>
      </c>
      <c r="C209" s="206"/>
      <c r="D209" s="206"/>
      <c r="E209" s="206"/>
      <c r="F209" s="206"/>
      <c r="G209" s="206"/>
      <c r="H209" s="206"/>
      <c r="I209" s="206"/>
      <c r="J209" s="206"/>
      <c r="K209" s="207"/>
      <c r="L209" s="2"/>
    </row>
    <row r="210" spans="2:12" ht="45" customHeight="1" x14ac:dyDescent="0.25">
      <c r="B210" s="150" t="s">
        <v>275</v>
      </c>
      <c r="C210" s="148" t="s">
        <v>27</v>
      </c>
      <c r="D210" s="148" t="s">
        <v>28</v>
      </c>
      <c r="E210" s="148" t="s">
        <v>142</v>
      </c>
      <c r="F210" s="149">
        <f>H210</f>
        <v>450.60700119999996</v>
      </c>
      <c r="G210" s="149" t="s">
        <v>143</v>
      </c>
      <c r="H210" s="149">
        <v>450.60700119999996</v>
      </c>
      <c r="I210" s="149" t="s">
        <v>26</v>
      </c>
      <c r="J210" s="149" t="s">
        <v>26</v>
      </c>
      <c r="K210" s="36" t="s">
        <v>26</v>
      </c>
      <c r="L210" s="2"/>
    </row>
    <row r="211" spans="2:12" ht="45" x14ac:dyDescent="0.25">
      <c r="B211" s="163"/>
      <c r="C211" s="130" t="s">
        <v>43</v>
      </c>
      <c r="D211" s="130" t="s">
        <v>44</v>
      </c>
      <c r="E211" s="128" t="s">
        <v>26</v>
      </c>
      <c r="F211" s="128" t="s">
        <v>26</v>
      </c>
      <c r="G211" s="128" t="s">
        <v>26</v>
      </c>
      <c r="H211" s="128" t="s">
        <v>26</v>
      </c>
      <c r="I211" s="128">
        <f>K211</f>
        <v>388.12790000000001</v>
      </c>
      <c r="J211" s="128" t="s">
        <v>276</v>
      </c>
      <c r="K211" s="129">
        <v>388.12790000000001</v>
      </c>
      <c r="L211" s="2"/>
    </row>
    <row r="212" spans="2:12" ht="37.5" customHeight="1" x14ac:dyDescent="0.25">
      <c r="B212" s="163"/>
      <c r="C212" s="188" t="s">
        <v>277</v>
      </c>
      <c r="D212" s="167"/>
      <c r="E212" s="128" t="s">
        <v>26</v>
      </c>
      <c r="F212" s="128" t="s">
        <v>26</v>
      </c>
      <c r="G212" s="128" t="s">
        <v>26</v>
      </c>
      <c r="H212" s="128" t="s">
        <v>26</v>
      </c>
      <c r="I212" s="125">
        <f>K212</f>
        <v>-168.07436999999999</v>
      </c>
      <c r="J212" s="125" t="s">
        <v>26</v>
      </c>
      <c r="K212" s="142">
        <v>-168.07436999999999</v>
      </c>
      <c r="L212" s="2"/>
    </row>
    <row r="213" spans="2:12" ht="55.5" customHeight="1" x14ac:dyDescent="0.25">
      <c r="B213" s="163"/>
      <c r="C213" s="164" t="s">
        <v>278</v>
      </c>
      <c r="D213" s="164" t="s">
        <v>279</v>
      </c>
      <c r="E213" s="168">
        <v>82000</v>
      </c>
      <c r="F213" s="168">
        <f>H213+H214+H215+H216+H217+H218+H219+H220+H221+H222+H223+H224+H226+H227+H228+H231+H229+H230+H232+H233+H234+H235</f>
        <v>35595.751479999999</v>
      </c>
      <c r="G213" s="139" t="s">
        <v>280</v>
      </c>
      <c r="H213" s="139">
        <v>1348.49884</v>
      </c>
      <c r="I213" s="168">
        <f>K213+K215+K214+K216+K218+K220+K222+K224+K226+K227+K228+K229+K232+K233+K234+K235</f>
        <v>35047.210938600008</v>
      </c>
      <c r="J213" s="124" t="s">
        <v>281</v>
      </c>
      <c r="K213" s="141">
        <v>1915.1067800000001</v>
      </c>
      <c r="L213" s="2"/>
    </row>
    <row r="214" spans="2:12" ht="30" x14ac:dyDescent="0.25">
      <c r="B214" s="163"/>
      <c r="C214" s="161"/>
      <c r="D214" s="161"/>
      <c r="E214" s="169"/>
      <c r="F214" s="169"/>
      <c r="G214" s="128" t="s">
        <v>282</v>
      </c>
      <c r="H214" s="128">
        <v>439.57299999999998</v>
      </c>
      <c r="I214" s="169"/>
      <c r="J214" s="124" t="s">
        <v>283</v>
      </c>
      <c r="K214" s="141">
        <v>1654.2477100000001</v>
      </c>
      <c r="L214" s="2"/>
    </row>
    <row r="215" spans="2:12" ht="48.75" customHeight="1" x14ac:dyDescent="0.25">
      <c r="B215" s="163"/>
      <c r="C215" s="161"/>
      <c r="D215" s="161"/>
      <c r="E215" s="169"/>
      <c r="F215" s="169"/>
      <c r="G215" s="128" t="s">
        <v>284</v>
      </c>
      <c r="H215" s="128">
        <v>181.851</v>
      </c>
      <c r="I215" s="169"/>
      <c r="J215" s="139" t="s">
        <v>285</v>
      </c>
      <c r="K215" s="140">
        <v>565.19503999999995</v>
      </c>
      <c r="L215" s="2"/>
    </row>
    <row r="216" spans="2:12" ht="30" customHeight="1" x14ac:dyDescent="0.25">
      <c r="B216" s="163"/>
      <c r="C216" s="161"/>
      <c r="D216" s="161"/>
      <c r="E216" s="169"/>
      <c r="F216" s="169"/>
      <c r="G216" s="128" t="s">
        <v>286</v>
      </c>
      <c r="H216" s="128">
        <v>5.1839300000000001</v>
      </c>
      <c r="I216" s="169"/>
      <c r="J216" s="201" t="s">
        <v>287</v>
      </c>
      <c r="K216" s="208">
        <v>1863.78503</v>
      </c>
      <c r="L216" s="2"/>
    </row>
    <row r="217" spans="2:12" ht="30" customHeight="1" x14ac:dyDescent="0.25">
      <c r="B217" s="163"/>
      <c r="C217" s="161"/>
      <c r="D217" s="161"/>
      <c r="E217" s="169"/>
      <c r="F217" s="169"/>
      <c r="G217" s="128" t="s">
        <v>288</v>
      </c>
      <c r="H217" s="128">
        <v>1909.9228499999999</v>
      </c>
      <c r="I217" s="169"/>
      <c r="J217" s="201"/>
      <c r="K217" s="208"/>
      <c r="L217" s="2"/>
    </row>
    <row r="218" spans="2:12" ht="34.5" customHeight="1" x14ac:dyDescent="0.25">
      <c r="B218" s="163"/>
      <c r="C218" s="161"/>
      <c r="D218" s="161"/>
      <c r="E218" s="169"/>
      <c r="F218" s="169"/>
      <c r="G218" s="128" t="s">
        <v>289</v>
      </c>
      <c r="H218" s="128">
        <v>1000</v>
      </c>
      <c r="I218" s="169"/>
      <c r="J218" s="201" t="s">
        <v>290</v>
      </c>
      <c r="K218" s="208">
        <v>77.799570000000003</v>
      </c>
      <c r="L218" s="2"/>
    </row>
    <row r="219" spans="2:12" ht="30" x14ac:dyDescent="0.25">
      <c r="B219" s="163"/>
      <c r="C219" s="161"/>
      <c r="D219" s="161"/>
      <c r="E219" s="169"/>
      <c r="F219" s="169"/>
      <c r="G219" s="128" t="s">
        <v>291</v>
      </c>
      <c r="H219" s="128">
        <v>654.24770999999998</v>
      </c>
      <c r="I219" s="169"/>
      <c r="J219" s="201"/>
      <c r="K219" s="208"/>
      <c r="L219" s="2"/>
    </row>
    <row r="220" spans="2:12" ht="30.75" customHeight="1" x14ac:dyDescent="0.25">
      <c r="B220" s="163"/>
      <c r="C220" s="161"/>
      <c r="D220" s="161"/>
      <c r="E220" s="169"/>
      <c r="F220" s="169"/>
      <c r="G220" s="128" t="s">
        <v>292</v>
      </c>
      <c r="H220" s="128">
        <v>565.19503999999995</v>
      </c>
      <c r="I220" s="169"/>
      <c r="J220" s="201" t="s">
        <v>293</v>
      </c>
      <c r="K220" s="208">
        <v>656.71627000000001</v>
      </c>
      <c r="L220" s="2"/>
    </row>
    <row r="221" spans="2:12" ht="30.75" customHeight="1" x14ac:dyDescent="0.25">
      <c r="B221" s="163"/>
      <c r="C221" s="161"/>
      <c r="D221" s="161"/>
      <c r="E221" s="169"/>
      <c r="F221" s="169"/>
      <c r="G221" s="128" t="s">
        <v>294</v>
      </c>
      <c r="H221" s="128">
        <v>1863.78503</v>
      </c>
      <c r="I221" s="169"/>
      <c r="J221" s="201"/>
      <c r="K221" s="208"/>
      <c r="L221" s="2"/>
    </row>
    <row r="222" spans="2:12" ht="30.75" customHeight="1" x14ac:dyDescent="0.25">
      <c r="B222" s="163"/>
      <c r="C222" s="161"/>
      <c r="D222" s="161"/>
      <c r="E222" s="169"/>
      <c r="F222" s="169"/>
      <c r="G222" s="128" t="s">
        <v>295</v>
      </c>
      <c r="H222" s="128">
        <v>656.71627000000001</v>
      </c>
      <c r="I222" s="169"/>
      <c r="J222" s="201" t="s">
        <v>296</v>
      </c>
      <c r="K222" s="208">
        <v>167.49793</v>
      </c>
      <c r="L222" s="2"/>
    </row>
    <row r="223" spans="2:12" ht="30.75" customHeight="1" x14ac:dyDescent="0.25">
      <c r="B223" s="163"/>
      <c r="C223" s="161"/>
      <c r="D223" s="161"/>
      <c r="E223" s="169"/>
      <c r="F223" s="169"/>
      <c r="G223" s="128" t="s">
        <v>297</v>
      </c>
      <c r="H223" s="128">
        <v>167.49793</v>
      </c>
      <c r="I223" s="169"/>
      <c r="J223" s="201"/>
      <c r="K223" s="208"/>
      <c r="L223" s="2"/>
    </row>
    <row r="224" spans="2:12" ht="30.75" customHeight="1" x14ac:dyDescent="0.25">
      <c r="B224" s="163"/>
      <c r="C224" s="161"/>
      <c r="D224" s="161"/>
      <c r="E224" s="169"/>
      <c r="F224" s="169"/>
      <c r="G224" s="168" t="s">
        <v>298</v>
      </c>
      <c r="H224" s="168">
        <v>77.799570000000003</v>
      </c>
      <c r="I224" s="169"/>
      <c r="J224" s="201" t="s">
        <v>299</v>
      </c>
      <c r="K224" s="208">
        <v>2194.6619999999998</v>
      </c>
      <c r="L224" s="2"/>
    </row>
    <row r="225" spans="2:12" ht="30.75" customHeight="1" x14ac:dyDescent="0.25">
      <c r="B225" s="163"/>
      <c r="C225" s="161"/>
      <c r="D225" s="161"/>
      <c r="E225" s="169"/>
      <c r="F225" s="169"/>
      <c r="G225" s="156"/>
      <c r="H225" s="156"/>
      <c r="I225" s="169"/>
      <c r="J225" s="201"/>
      <c r="K225" s="208"/>
      <c r="L225" s="2"/>
    </row>
    <row r="226" spans="2:12" ht="45.75" customHeight="1" x14ac:dyDescent="0.25">
      <c r="B226" s="163"/>
      <c r="C226" s="161"/>
      <c r="D226" s="161"/>
      <c r="E226" s="169"/>
      <c r="F226" s="169"/>
      <c r="G226" s="128" t="s">
        <v>300</v>
      </c>
      <c r="H226" s="128">
        <v>2194.6619999999998</v>
      </c>
      <c r="I226" s="169"/>
      <c r="J226" s="128" t="s">
        <v>301</v>
      </c>
      <c r="K226" s="140">
        <v>7196.6325299999999</v>
      </c>
      <c r="L226" s="2"/>
    </row>
    <row r="227" spans="2:12" ht="43.5" customHeight="1" x14ac:dyDescent="0.25">
      <c r="B227" s="163"/>
      <c r="C227" s="161"/>
      <c r="D227" s="161"/>
      <c r="E227" s="169"/>
      <c r="F227" s="169"/>
      <c r="G227" s="128" t="s">
        <v>302</v>
      </c>
      <c r="H227" s="128">
        <v>1000</v>
      </c>
      <c r="I227" s="169"/>
      <c r="J227" s="128" t="s">
        <v>303</v>
      </c>
      <c r="K227" s="140">
        <v>143.59798000000001</v>
      </c>
      <c r="L227" s="2"/>
    </row>
    <row r="228" spans="2:12" ht="44.25" customHeight="1" x14ac:dyDescent="0.25">
      <c r="B228" s="163"/>
      <c r="C228" s="161"/>
      <c r="D228" s="161"/>
      <c r="E228" s="169"/>
      <c r="F228" s="169"/>
      <c r="G228" s="128" t="s">
        <v>304</v>
      </c>
      <c r="H228" s="128">
        <v>143.59798000000001</v>
      </c>
      <c r="I228" s="169"/>
      <c r="J228" s="128" t="s">
        <v>305</v>
      </c>
      <c r="K228" s="140">
        <v>1975.1956499999999</v>
      </c>
      <c r="L228" s="2"/>
    </row>
    <row r="229" spans="2:12" ht="30.75" customHeight="1" x14ac:dyDescent="0.25">
      <c r="B229" s="163"/>
      <c r="C229" s="161"/>
      <c r="D229" s="161"/>
      <c r="E229" s="169"/>
      <c r="F229" s="169"/>
      <c r="G229" s="128" t="s">
        <v>306</v>
      </c>
      <c r="H229" s="128">
        <f>4919777.53/1000</f>
        <v>4919.7775300000003</v>
      </c>
      <c r="I229" s="169"/>
      <c r="J229" s="168" t="s">
        <v>307</v>
      </c>
      <c r="K229" s="209">
        <f>6341544.78/1000</f>
        <v>6341.5447800000002</v>
      </c>
      <c r="L229" s="2"/>
    </row>
    <row r="230" spans="2:12" ht="30.75" customHeight="1" x14ac:dyDescent="0.25">
      <c r="B230" s="163"/>
      <c r="C230" s="161"/>
      <c r="D230" s="161"/>
      <c r="E230" s="169"/>
      <c r="F230" s="169"/>
      <c r="G230" s="128" t="s">
        <v>308</v>
      </c>
      <c r="H230" s="128">
        <f>1276855/1000</f>
        <v>1276.855</v>
      </c>
      <c r="I230" s="169"/>
      <c r="J230" s="169"/>
      <c r="K230" s="210"/>
      <c r="L230" s="2"/>
    </row>
    <row r="231" spans="2:12" ht="30.75" customHeight="1" x14ac:dyDescent="0.25">
      <c r="B231" s="163"/>
      <c r="C231" s="161"/>
      <c r="D231" s="161"/>
      <c r="E231" s="169"/>
      <c r="F231" s="169"/>
      <c r="G231" s="128" t="s">
        <v>309</v>
      </c>
      <c r="H231" s="128">
        <f>1975195.65/1000</f>
        <v>1975.1956499999999</v>
      </c>
      <c r="I231" s="169"/>
      <c r="J231" s="156"/>
      <c r="K231" s="211"/>
      <c r="L231" s="2"/>
    </row>
    <row r="232" spans="2:12" ht="45.75" customHeight="1" x14ac:dyDescent="0.25">
      <c r="B232" s="163"/>
      <c r="C232" s="161"/>
      <c r="D232" s="161"/>
      <c r="E232" s="169"/>
      <c r="F232" s="169"/>
      <c r="G232" s="128" t="s">
        <v>310</v>
      </c>
      <c r="H232" s="139">
        <f>6341544.78/1000</f>
        <v>6341.5447800000002</v>
      </c>
      <c r="I232" s="169"/>
      <c r="J232" s="139" t="s">
        <v>311</v>
      </c>
      <c r="K232" s="87">
        <f>7304117.91/1000</f>
        <v>7304.1179099999999</v>
      </c>
      <c r="L232" s="2"/>
    </row>
    <row r="233" spans="2:12" ht="43.5" customHeight="1" x14ac:dyDescent="0.25">
      <c r="B233" s="163"/>
      <c r="C233" s="161"/>
      <c r="D233" s="161"/>
      <c r="E233" s="169"/>
      <c r="F233" s="169"/>
      <c r="G233" s="128" t="s">
        <v>312</v>
      </c>
      <c r="H233" s="128">
        <f>7304117.91/1000</f>
        <v>7304.1179099999999</v>
      </c>
      <c r="I233" s="169"/>
      <c r="J233" s="139" t="s">
        <v>313</v>
      </c>
      <c r="K233" s="87">
        <f>1007308.95/1000</f>
        <v>1007.30895</v>
      </c>
      <c r="L233" s="2"/>
    </row>
    <row r="234" spans="2:12" ht="45.75" customHeight="1" x14ac:dyDescent="0.25">
      <c r="B234" s="163"/>
      <c r="C234" s="161"/>
      <c r="D234" s="161"/>
      <c r="E234" s="169"/>
      <c r="F234" s="169"/>
      <c r="G234" s="128" t="s">
        <v>314</v>
      </c>
      <c r="H234" s="128">
        <f>1007308.95/1000</f>
        <v>1007.30895</v>
      </c>
      <c r="I234" s="169"/>
      <c r="J234" s="128" t="s">
        <v>315</v>
      </c>
      <c r="K234" s="140">
        <f>562420.51/1000</f>
        <v>562.42051000000004</v>
      </c>
      <c r="L234" s="2"/>
    </row>
    <row r="235" spans="2:12" ht="45.75" customHeight="1" x14ac:dyDescent="0.25">
      <c r="B235" s="163"/>
      <c r="C235" s="161"/>
      <c r="D235" s="161"/>
      <c r="E235" s="169"/>
      <c r="F235" s="169"/>
      <c r="G235" s="128" t="s">
        <v>316</v>
      </c>
      <c r="H235" s="128">
        <f>562420.51/1000</f>
        <v>562.42051000000004</v>
      </c>
      <c r="I235" s="169"/>
      <c r="J235" s="128" t="s">
        <v>317</v>
      </c>
      <c r="K235" s="140">
        <f>1421382.2986/1000</f>
        <v>1421.3822986</v>
      </c>
      <c r="L235" s="2"/>
    </row>
    <row r="236" spans="2:12" ht="44.25" customHeight="1" x14ac:dyDescent="0.25">
      <c r="B236" s="163"/>
      <c r="C236" s="164" t="s">
        <v>278</v>
      </c>
      <c r="D236" s="164" t="s">
        <v>318</v>
      </c>
      <c r="E236" s="168">
        <f>7700000/1000</f>
        <v>7700</v>
      </c>
      <c r="F236" s="168">
        <f>H236+H237</f>
        <v>254.67948000000001</v>
      </c>
      <c r="G236" s="128" t="s">
        <v>319</v>
      </c>
      <c r="H236" s="128">
        <f>109562.95/1000</f>
        <v>109.56295</v>
      </c>
      <c r="I236" s="168">
        <f>K236+K237+K238</f>
        <v>373.10951999999997</v>
      </c>
      <c r="J236" s="139" t="s">
        <v>320</v>
      </c>
      <c r="K236" s="87">
        <f>145116.53/1000</f>
        <v>145.11653000000001</v>
      </c>
      <c r="L236" s="2"/>
    </row>
    <row r="237" spans="2:12" ht="44.25" customHeight="1" x14ac:dyDescent="0.25">
      <c r="B237" s="163"/>
      <c r="C237" s="161"/>
      <c r="D237" s="161"/>
      <c r="E237" s="169"/>
      <c r="F237" s="169"/>
      <c r="G237" s="128" t="s">
        <v>321</v>
      </c>
      <c r="H237" s="128">
        <f>145116.53/1000</f>
        <v>145.11653000000001</v>
      </c>
      <c r="I237" s="169"/>
      <c r="J237" s="139" t="s">
        <v>322</v>
      </c>
      <c r="K237" s="140">
        <f>109562.95/1000</f>
        <v>109.56295</v>
      </c>
      <c r="L237" s="2"/>
    </row>
    <row r="238" spans="2:12" ht="43.5" customHeight="1" x14ac:dyDescent="0.25">
      <c r="B238" s="163"/>
      <c r="C238" s="161"/>
      <c r="D238" s="161"/>
      <c r="E238" s="169"/>
      <c r="F238" s="169"/>
      <c r="G238" s="128" t="s">
        <v>26</v>
      </c>
      <c r="H238" s="128" t="s">
        <v>26</v>
      </c>
      <c r="I238" s="169"/>
      <c r="J238" s="128" t="s">
        <v>323</v>
      </c>
      <c r="K238" s="140">
        <f>118430.04/1000</f>
        <v>118.43003999999999</v>
      </c>
      <c r="L238" s="2"/>
    </row>
    <row r="239" spans="2:12" ht="50.25" customHeight="1" x14ac:dyDescent="0.25">
      <c r="B239" s="163"/>
      <c r="C239" s="130" t="s">
        <v>43</v>
      </c>
      <c r="D239" s="130" t="s">
        <v>44</v>
      </c>
      <c r="E239" s="130" t="s">
        <v>26</v>
      </c>
      <c r="F239" s="139">
        <f t="shared" ref="F239:F243" si="19">H239</f>
        <v>91.702250000000006</v>
      </c>
      <c r="G239" s="139" t="s">
        <v>45</v>
      </c>
      <c r="H239" s="20">
        <v>91.702250000000006</v>
      </c>
      <c r="I239" s="139">
        <f t="shared" ref="I239" si="20">K239</f>
        <v>91.702250000000006</v>
      </c>
      <c r="J239" s="21" t="s">
        <v>46</v>
      </c>
      <c r="K239" s="129">
        <f>91702.25/1000</f>
        <v>91.702250000000006</v>
      </c>
      <c r="L239" s="2"/>
    </row>
    <row r="240" spans="2:12" ht="46.5" customHeight="1" x14ac:dyDescent="0.25">
      <c r="B240" s="163"/>
      <c r="C240" s="164" t="s">
        <v>324</v>
      </c>
      <c r="D240" s="164" t="s">
        <v>325</v>
      </c>
      <c r="E240" s="168">
        <f>30668.87*16/1000</f>
        <v>490.70191999999997</v>
      </c>
      <c r="F240" s="168">
        <f>H240</f>
        <v>30.668869999999998</v>
      </c>
      <c r="G240" s="139" t="s">
        <v>326</v>
      </c>
      <c r="H240" s="139">
        <f>30668.87/1000</f>
        <v>30.668869999999998</v>
      </c>
      <c r="I240" s="168">
        <f>K240+K241</f>
        <v>92.006609999999995</v>
      </c>
      <c r="J240" s="21" t="s">
        <v>327</v>
      </c>
      <c r="K240" s="129">
        <f>30668.87/1000</f>
        <v>30.668869999999998</v>
      </c>
      <c r="L240" s="2"/>
    </row>
    <row r="241" spans="2:12" ht="46.5" customHeight="1" x14ac:dyDescent="0.25">
      <c r="B241" s="163"/>
      <c r="C241" s="165"/>
      <c r="D241" s="165"/>
      <c r="E241" s="156"/>
      <c r="F241" s="156"/>
      <c r="G241" s="128" t="s">
        <v>26</v>
      </c>
      <c r="H241" s="128" t="s">
        <v>26</v>
      </c>
      <c r="I241" s="156"/>
      <c r="J241" s="128" t="s">
        <v>328</v>
      </c>
      <c r="K241" s="129">
        <f>61337.74/1000</f>
        <v>61.337739999999997</v>
      </c>
      <c r="L241" s="2"/>
    </row>
    <row r="242" spans="2:12" ht="46.5" customHeight="1" x14ac:dyDescent="0.25">
      <c r="B242" s="163"/>
      <c r="C242" s="130" t="s">
        <v>324</v>
      </c>
      <c r="D242" s="133" t="s">
        <v>329</v>
      </c>
      <c r="E242" s="145">
        <f>3303227.63/1000</f>
        <v>3303.2276299999999</v>
      </c>
      <c r="F242" s="139" t="str">
        <f>H242</f>
        <v>__</v>
      </c>
      <c r="G242" s="128" t="s">
        <v>26</v>
      </c>
      <c r="H242" s="128" t="s">
        <v>26</v>
      </c>
      <c r="I242" s="138">
        <f>K242</f>
        <v>3303.2276299999999</v>
      </c>
      <c r="J242" s="128" t="s">
        <v>330</v>
      </c>
      <c r="K242" s="129">
        <f>3303227.63/1000</f>
        <v>3303.2276299999999</v>
      </c>
      <c r="L242" s="2"/>
    </row>
    <row r="243" spans="2:12" ht="50.25" customHeight="1" x14ac:dyDescent="0.25">
      <c r="B243" s="163"/>
      <c r="C243" s="130" t="s">
        <v>43</v>
      </c>
      <c r="D243" s="130" t="s">
        <v>44</v>
      </c>
      <c r="E243" s="130" t="s">
        <v>26</v>
      </c>
      <c r="F243" s="139">
        <f t="shared" si="19"/>
        <v>285.39886000000001</v>
      </c>
      <c r="G243" s="139" t="s">
        <v>45</v>
      </c>
      <c r="H243" s="139">
        <f>285398.86/1000</f>
        <v>285.39886000000001</v>
      </c>
      <c r="I243" s="21">
        <f t="shared" ref="I243" si="21">K243</f>
        <v>285.39886000000001</v>
      </c>
      <c r="J243" s="21" t="s">
        <v>46</v>
      </c>
      <c r="K243" s="129">
        <f>285398.86/1000</f>
        <v>285.39886000000001</v>
      </c>
      <c r="L243" s="2"/>
    </row>
    <row r="244" spans="2:12" ht="45.75" customHeight="1" x14ac:dyDescent="0.25">
      <c r="B244" s="163"/>
      <c r="C244" s="183" t="s">
        <v>27</v>
      </c>
      <c r="D244" s="183" t="s">
        <v>28</v>
      </c>
      <c r="E244" s="201" t="s">
        <v>29</v>
      </c>
      <c r="F244" s="201">
        <f>H244+H245+H246+H247+H248+H249+H250+H251</f>
        <v>7708.1977399999996</v>
      </c>
      <c r="G244" s="130" t="s">
        <v>30</v>
      </c>
      <c r="H244" s="139">
        <v>911.58042999999998</v>
      </c>
      <c r="I244" s="201">
        <f>K244+K245+K246+K247+K248+K249+K250+K251+K252</f>
        <v>8108.1977399999996</v>
      </c>
      <c r="J244" s="139" t="s">
        <v>331</v>
      </c>
      <c r="K244" s="140">
        <v>911.58042999999998</v>
      </c>
      <c r="L244" s="2"/>
    </row>
    <row r="245" spans="2:12" ht="48.75" customHeight="1" x14ac:dyDescent="0.25">
      <c r="B245" s="163"/>
      <c r="C245" s="183"/>
      <c r="D245" s="183"/>
      <c r="E245" s="201"/>
      <c r="F245" s="201"/>
      <c r="G245" s="130" t="s">
        <v>332</v>
      </c>
      <c r="H245" s="139">
        <v>1108.8896999999999</v>
      </c>
      <c r="I245" s="201"/>
      <c r="J245" s="139" t="s">
        <v>333</v>
      </c>
      <c r="K245" s="140">
        <v>1108.8896999999999</v>
      </c>
      <c r="L245" s="2"/>
    </row>
    <row r="246" spans="2:12" ht="45.75" customHeight="1" x14ac:dyDescent="0.25">
      <c r="B246" s="163"/>
      <c r="C246" s="183"/>
      <c r="D246" s="183"/>
      <c r="E246" s="201"/>
      <c r="F246" s="201"/>
      <c r="G246" s="130" t="s">
        <v>334</v>
      </c>
      <c r="H246" s="139">
        <v>1129.82546</v>
      </c>
      <c r="I246" s="201"/>
      <c r="J246" s="139" t="s">
        <v>31</v>
      </c>
      <c r="K246" s="140">
        <v>1129.82546</v>
      </c>
      <c r="L246" s="2"/>
    </row>
    <row r="247" spans="2:12" ht="48" customHeight="1" x14ac:dyDescent="0.25">
      <c r="B247" s="163"/>
      <c r="C247" s="183"/>
      <c r="D247" s="183"/>
      <c r="E247" s="201"/>
      <c r="F247" s="201"/>
      <c r="G247" s="130" t="s">
        <v>32</v>
      </c>
      <c r="H247" s="139">
        <v>911.58042999999998</v>
      </c>
      <c r="I247" s="201"/>
      <c r="J247" s="139" t="s">
        <v>33</v>
      </c>
      <c r="K247" s="140">
        <v>911.58042999999998</v>
      </c>
      <c r="L247" s="2"/>
    </row>
    <row r="248" spans="2:12" ht="48" customHeight="1" x14ac:dyDescent="0.25">
      <c r="B248" s="163"/>
      <c r="C248" s="183"/>
      <c r="D248" s="183"/>
      <c r="E248" s="201"/>
      <c r="F248" s="201"/>
      <c r="G248" s="130" t="s">
        <v>335</v>
      </c>
      <c r="H248" s="139">
        <v>911.58042999999998</v>
      </c>
      <c r="I248" s="201"/>
      <c r="J248" s="139" t="s">
        <v>35</v>
      </c>
      <c r="K248" s="140">
        <v>911.58042999999998</v>
      </c>
      <c r="L248" s="2"/>
    </row>
    <row r="249" spans="2:12" ht="48" customHeight="1" x14ac:dyDescent="0.25">
      <c r="B249" s="163"/>
      <c r="C249" s="183"/>
      <c r="D249" s="183"/>
      <c r="E249" s="201"/>
      <c r="F249" s="201"/>
      <c r="G249" s="130" t="s">
        <v>336</v>
      </c>
      <c r="H249" s="139">
        <v>911.58042999999998</v>
      </c>
      <c r="I249" s="201"/>
      <c r="J249" s="139" t="s">
        <v>37</v>
      </c>
      <c r="K249" s="140">
        <v>911.58042999999998</v>
      </c>
      <c r="L249" s="2"/>
    </row>
    <row r="250" spans="2:12" ht="48" customHeight="1" x14ac:dyDescent="0.25">
      <c r="B250" s="163"/>
      <c r="C250" s="183"/>
      <c r="D250" s="183"/>
      <c r="E250" s="201"/>
      <c r="F250" s="201"/>
      <c r="G250" s="130" t="s">
        <v>337</v>
      </c>
      <c r="H250" s="139">
        <f>911580.43/1000</f>
        <v>911.58043000000009</v>
      </c>
      <c r="I250" s="201"/>
      <c r="J250" s="139" t="s">
        <v>39</v>
      </c>
      <c r="K250" s="140">
        <v>911.58042999999998</v>
      </c>
      <c r="L250" s="2"/>
    </row>
    <row r="251" spans="2:12" ht="48" customHeight="1" x14ac:dyDescent="0.25">
      <c r="B251" s="163"/>
      <c r="C251" s="183"/>
      <c r="D251" s="183"/>
      <c r="E251" s="201"/>
      <c r="F251" s="201"/>
      <c r="G251" s="130" t="s">
        <v>338</v>
      </c>
      <c r="H251" s="139">
        <f>911580.43/1000</f>
        <v>911.58043000000009</v>
      </c>
      <c r="I251" s="201"/>
      <c r="J251" s="139" t="s">
        <v>41</v>
      </c>
      <c r="K251" s="140">
        <f>911580.43/1000</f>
        <v>911.58043000000009</v>
      </c>
      <c r="L251" s="2"/>
    </row>
    <row r="252" spans="2:12" ht="48" customHeight="1" x14ac:dyDescent="0.25">
      <c r="B252" s="163"/>
      <c r="C252" s="183"/>
      <c r="D252" s="183"/>
      <c r="E252" s="201"/>
      <c r="F252" s="201"/>
      <c r="G252" s="139" t="s">
        <v>26</v>
      </c>
      <c r="H252" s="139" t="s">
        <v>26</v>
      </c>
      <c r="I252" s="201"/>
      <c r="J252" s="139" t="s">
        <v>42</v>
      </c>
      <c r="K252" s="129">
        <f>400000/1000</f>
        <v>400</v>
      </c>
      <c r="L252" s="2"/>
    </row>
    <row r="253" spans="2:12" ht="27" customHeight="1" x14ac:dyDescent="0.25">
      <c r="B253" s="163"/>
      <c r="C253" s="188" t="s">
        <v>339</v>
      </c>
      <c r="D253" s="167"/>
      <c r="E253" s="125" t="s">
        <v>26</v>
      </c>
      <c r="F253" s="128">
        <f t="shared" ref="F253:F295" si="22">H253</f>
        <v>30.43319</v>
      </c>
      <c r="G253" s="125" t="s">
        <v>26</v>
      </c>
      <c r="H253" s="128">
        <v>30.43319</v>
      </c>
      <c r="I253" s="128">
        <f t="shared" ref="I253:I294" si="23">K253</f>
        <v>30.43319</v>
      </c>
      <c r="J253" s="138" t="s">
        <v>26</v>
      </c>
      <c r="K253" s="129">
        <v>30.43319</v>
      </c>
      <c r="L253" s="2"/>
    </row>
    <row r="254" spans="2:12" ht="36.75" customHeight="1" x14ac:dyDescent="0.25">
      <c r="B254" s="163"/>
      <c r="C254" s="191" t="s">
        <v>340</v>
      </c>
      <c r="D254" s="180"/>
      <c r="E254" s="139" t="s">
        <v>26</v>
      </c>
      <c r="F254" s="139">
        <f t="shared" si="22"/>
        <v>31.482610000000001</v>
      </c>
      <c r="G254" s="139" t="s">
        <v>26</v>
      </c>
      <c r="H254" s="128">
        <v>31.482610000000001</v>
      </c>
      <c r="I254" s="128">
        <f t="shared" si="23"/>
        <v>31.482610000000001</v>
      </c>
      <c r="J254" s="128" t="s">
        <v>26</v>
      </c>
      <c r="K254" s="25">
        <v>31.482610000000001</v>
      </c>
      <c r="L254" s="2"/>
    </row>
    <row r="255" spans="2:12" ht="27" customHeight="1" x14ac:dyDescent="0.25">
      <c r="B255" s="163"/>
      <c r="C255" s="191" t="s">
        <v>341</v>
      </c>
      <c r="D255" s="180"/>
      <c r="E255" s="139" t="s">
        <v>26</v>
      </c>
      <c r="F255" s="139">
        <f t="shared" si="22"/>
        <v>37.866860000000003</v>
      </c>
      <c r="G255" s="139" t="s">
        <v>26</v>
      </c>
      <c r="H255" s="128">
        <v>37.866860000000003</v>
      </c>
      <c r="I255" s="139">
        <f t="shared" si="23"/>
        <v>37.866860000000003</v>
      </c>
      <c r="J255" s="139" t="s">
        <v>26</v>
      </c>
      <c r="K255" s="25">
        <v>37.866860000000003</v>
      </c>
      <c r="L255" s="2"/>
    </row>
    <row r="256" spans="2:12" ht="27" customHeight="1" x14ac:dyDescent="0.25">
      <c r="B256" s="163"/>
      <c r="C256" s="191" t="s">
        <v>342</v>
      </c>
      <c r="D256" s="180"/>
      <c r="E256" s="139" t="s">
        <v>26</v>
      </c>
      <c r="F256" s="139">
        <f t="shared" si="22"/>
        <v>71.491720000000001</v>
      </c>
      <c r="G256" s="139" t="s">
        <v>26</v>
      </c>
      <c r="H256" s="128">
        <v>71.491720000000001</v>
      </c>
      <c r="I256" s="139">
        <f t="shared" si="23"/>
        <v>71.491720000000001</v>
      </c>
      <c r="J256" s="139" t="s">
        <v>26</v>
      </c>
      <c r="K256" s="25">
        <v>71.491720000000001</v>
      </c>
      <c r="L256" s="2"/>
    </row>
    <row r="257" spans="2:12" ht="27" customHeight="1" x14ac:dyDescent="0.25">
      <c r="B257" s="163"/>
      <c r="C257" s="191" t="s">
        <v>343</v>
      </c>
      <c r="D257" s="180"/>
      <c r="E257" s="139" t="s">
        <v>26</v>
      </c>
      <c r="F257" s="139">
        <f t="shared" si="22"/>
        <v>134.44314</v>
      </c>
      <c r="G257" s="139" t="s">
        <v>26</v>
      </c>
      <c r="H257" s="128">
        <v>134.44314</v>
      </c>
      <c r="I257" s="139">
        <f t="shared" si="23"/>
        <v>134.44314</v>
      </c>
      <c r="J257" s="139" t="s">
        <v>26</v>
      </c>
      <c r="K257" s="129">
        <v>134.44314</v>
      </c>
      <c r="L257" s="2"/>
    </row>
    <row r="258" spans="2:12" ht="27" customHeight="1" x14ac:dyDescent="0.25">
      <c r="B258" s="163"/>
      <c r="C258" s="191" t="s">
        <v>344</v>
      </c>
      <c r="D258" s="180"/>
      <c r="E258" s="139" t="s">
        <v>26</v>
      </c>
      <c r="F258" s="139">
        <f t="shared" si="22"/>
        <v>102.93594999999999</v>
      </c>
      <c r="G258" s="139" t="s">
        <v>26</v>
      </c>
      <c r="H258" s="128">
        <f>102935.95/1000</f>
        <v>102.93594999999999</v>
      </c>
      <c r="I258" s="139">
        <f t="shared" si="23"/>
        <v>102.93594999999999</v>
      </c>
      <c r="J258" s="139" t="s">
        <v>26</v>
      </c>
      <c r="K258" s="129">
        <f>102935.95/1000</f>
        <v>102.93594999999999</v>
      </c>
      <c r="L258" s="2"/>
    </row>
    <row r="259" spans="2:12" ht="27" customHeight="1" x14ac:dyDescent="0.25">
      <c r="B259" s="163"/>
      <c r="C259" s="191" t="s">
        <v>345</v>
      </c>
      <c r="D259" s="180"/>
      <c r="E259" s="139" t="s">
        <v>26</v>
      </c>
      <c r="F259" s="139">
        <f t="shared" si="22"/>
        <v>162.27289000000002</v>
      </c>
      <c r="G259" s="139" t="s">
        <v>26</v>
      </c>
      <c r="H259" s="139">
        <f>162272.89/1000</f>
        <v>162.27289000000002</v>
      </c>
      <c r="I259" s="21">
        <f t="shared" si="23"/>
        <v>162.27289000000002</v>
      </c>
      <c r="J259" s="139" t="s">
        <v>26</v>
      </c>
      <c r="K259" s="129">
        <f>162272.89/1000</f>
        <v>162.27289000000002</v>
      </c>
      <c r="L259" s="2"/>
    </row>
    <row r="260" spans="2:12" ht="27" customHeight="1" x14ac:dyDescent="0.25">
      <c r="B260" s="163"/>
      <c r="C260" s="179" t="s">
        <v>346</v>
      </c>
      <c r="D260" s="180"/>
      <c r="E260" s="139" t="s">
        <v>26</v>
      </c>
      <c r="F260" s="139">
        <f t="shared" si="22"/>
        <v>231.15860999999998</v>
      </c>
      <c r="G260" s="139" t="s">
        <v>26</v>
      </c>
      <c r="H260" s="139">
        <f>231158.61/1000</f>
        <v>231.15860999999998</v>
      </c>
      <c r="I260" s="21">
        <f t="shared" si="23"/>
        <v>231.15860999999998</v>
      </c>
      <c r="J260" s="139" t="s">
        <v>26</v>
      </c>
      <c r="K260" s="129">
        <f>H260</f>
        <v>231.15860999999998</v>
      </c>
      <c r="L260" s="2"/>
    </row>
    <row r="261" spans="2:12" ht="29.25" customHeight="1" x14ac:dyDescent="0.25">
      <c r="B261" s="163"/>
      <c r="C261" s="183" t="s">
        <v>347</v>
      </c>
      <c r="D261" s="183"/>
      <c r="E261" s="130" t="s">
        <v>26</v>
      </c>
      <c r="F261" s="139">
        <f t="shared" si="22"/>
        <v>228.81892999999999</v>
      </c>
      <c r="G261" s="130" t="s">
        <v>26</v>
      </c>
      <c r="H261" s="139">
        <f>228818.93/1000</f>
        <v>228.81892999999999</v>
      </c>
      <c r="I261" s="20">
        <f t="shared" si="23"/>
        <v>228.81892999999999</v>
      </c>
      <c r="J261" s="130" t="s">
        <v>26</v>
      </c>
      <c r="K261" s="24">
        <f>H261</f>
        <v>228.81892999999999</v>
      </c>
      <c r="L261" s="2"/>
    </row>
    <row r="262" spans="2:12" ht="29.25" customHeight="1" x14ac:dyDescent="0.25">
      <c r="B262" s="163"/>
      <c r="C262" s="183" t="s">
        <v>348</v>
      </c>
      <c r="D262" s="183"/>
      <c r="E262" s="130" t="s">
        <v>26</v>
      </c>
      <c r="F262" s="139">
        <f>H262</f>
        <v>169.07948000000002</v>
      </c>
      <c r="G262" s="130" t="s">
        <v>26</v>
      </c>
      <c r="H262" s="139">
        <f>169079.48/1000</f>
        <v>169.07948000000002</v>
      </c>
      <c r="I262" s="20">
        <f>K262</f>
        <v>169.07948000000002</v>
      </c>
      <c r="J262" s="130" t="s">
        <v>26</v>
      </c>
      <c r="K262" s="24">
        <f>H262</f>
        <v>169.07948000000002</v>
      </c>
      <c r="L262" s="2"/>
    </row>
    <row r="263" spans="2:12" ht="30.75" customHeight="1" x14ac:dyDescent="0.25">
      <c r="B263" s="163"/>
      <c r="C263" s="179" t="s">
        <v>50</v>
      </c>
      <c r="D263" s="180"/>
      <c r="E263" s="130" t="s">
        <v>26</v>
      </c>
      <c r="F263" s="139">
        <f t="shared" si="22"/>
        <v>32.233720739247801</v>
      </c>
      <c r="G263" s="130" t="s">
        <v>26</v>
      </c>
      <c r="H263" s="139">
        <v>32.233720739247801</v>
      </c>
      <c r="I263" s="139">
        <f t="shared" si="23"/>
        <v>154.02080000000001</v>
      </c>
      <c r="J263" s="130" t="s">
        <v>26</v>
      </c>
      <c r="K263" s="140">
        <v>154.02080000000001</v>
      </c>
      <c r="L263" s="2"/>
    </row>
    <row r="264" spans="2:12" ht="33" customHeight="1" x14ac:dyDescent="0.25">
      <c r="B264" s="163"/>
      <c r="C264" s="152" t="s">
        <v>51</v>
      </c>
      <c r="D264" s="153"/>
      <c r="E264" s="134" t="s">
        <v>26</v>
      </c>
      <c r="F264" s="139">
        <f t="shared" si="22"/>
        <v>208.41188919483398</v>
      </c>
      <c r="G264" s="130" t="s">
        <v>26</v>
      </c>
      <c r="H264" s="139">
        <f>208411.889194834/1000</f>
        <v>208.41188919483398</v>
      </c>
      <c r="I264" s="139">
        <f t="shared" si="23"/>
        <v>227.58690000000001</v>
      </c>
      <c r="J264" s="130" t="s">
        <v>26</v>
      </c>
      <c r="K264" s="140">
        <v>227.58690000000001</v>
      </c>
      <c r="L264" s="2"/>
    </row>
    <row r="265" spans="2:12" ht="32.25" customHeight="1" x14ac:dyDescent="0.25">
      <c r="B265" s="163"/>
      <c r="C265" s="152" t="s">
        <v>52</v>
      </c>
      <c r="D265" s="153"/>
      <c r="E265" s="134" t="s">
        <v>26</v>
      </c>
      <c r="F265" s="124">
        <f t="shared" si="22"/>
        <v>236.88233734509097</v>
      </c>
      <c r="G265" s="134" t="s">
        <v>26</v>
      </c>
      <c r="H265" s="124">
        <f>236882.337345091/1000</f>
        <v>236.88233734509097</v>
      </c>
      <c r="I265" s="124">
        <f t="shared" si="23"/>
        <v>315.65271999999999</v>
      </c>
      <c r="J265" s="134" t="s">
        <v>26</v>
      </c>
      <c r="K265" s="141">
        <v>315.65271999999999</v>
      </c>
      <c r="L265" s="2"/>
    </row>
    <row r="266" spans="2:12" ht="32.25" customHeight="1" x14ac:dyDescent="0.25">
      <c r="B266" s="163"/>
      <c r="C266" s="152" t="s">
        <v>53</v>
      </c>
      <c r="D266" s="153"/>
      <c r="E266" s="134" t="s">
        <v>26</v>
      </c>
      <c r="F266" s="124">
        <f t="shared" si="22"/>
        <v>319.92644000000001</v>
      </c>
      <c r="G266" s="134" t="s">
        <v>26</v>
      </c>
      <c r="H266" s="124">
        <v>319.92644000000001</v>
      </c>
      <c r="I266" s="124">
        <f t="shared" si="23"/>
        <v>354.02409999999998</v>
      </c>
      <c r="J266" s="134" t="s">
        <v>26</v>
      </c>
      <c r="K266" s="141">
        <v>354.02409999999998</v>
      </c>
      <c r="L266" s="2"/>
    </row>
    <row r="267" spans="2:12" ht="32.25" customHeight="1" x14ac:dyDescent="0.25">
      <c r="B267" s="163"/>
      <c r="C267" s="152" t="s">
        <v>54</v>
      </c>
      <c r="D267" s="153"/>
      <c r="E267" s="134" t="s">
        <v>26</v>
      </c>
      <c r="F267" s="124">
        <f t="shared" si="22"/>
        <v>383.79507000000001</v>
      </c>
      <c r="G267" s="134" t="s">
        <v>26</v>
      </c>
      <c r="H267" s="124">
        <v>383.79507000000001</v>
      </c>
      <c r="I267" s="124">
        <f t="shared" si="23"/>
        <v>276.87968999999998</v>
      </c>
      <c r="J267" s="134" t="s">
        <v>26</v>
      </c>
      <c r="K267" s="141">
        <v>276.87968999999998</v>
      </c>
      <c r="L267" s="2"/>
    </row>
    <row r="268" spans="2:12" ht="32.25" customHeight="1" x14ac:dyDescent="0.25">
      <c r="B268" s="163"/>
      <c r="C268" s="179" t="s">
        <v>55</v>
      </c>
      <c r="D268" s="180"/>
      <c r="E268" s="130" t="s">
        <v>26</v>
      </c>
      <c r="F268" s="139">
        <f t="shared" si="22"/>
        <v>220.18921</v>
      </c>
      <c r="G268" s="130" t="s">
        <v>26</v>
      </c>
      <c r="H268" s="139">
        <v>220.18921</v>
      </c>
      <c r="I268" s="139">
        <f t="shared" si="23"/>
        <v>244.26268999999999</v>
      </c>
      <c r="J268" s="130" t="s">
        <v>26</v>
      </c>
      <c r="K268" s="140">
        <v>244.26268999999999</v>
      </c>
      <c r="L268" s="2"/>
    </row>
    <row r="269" spans="2:12" ht="47.25" customHeight="1" x14ac:dyDescent="0.25">
      <c r="B269" s="163"/>
      <c r="C269" s="179" t="s">
        <v>56</v>
      </c>
      <c r="D269" s="180"/>
      <c r="E269" s="130" t="s">
        <v>26</v>
      </c>
      <c r="F269" s="139">
        <f t="shared" si="22"/>
        <v>216.57794000000001</v>
      </c>
      <c r="G269" s="130" t="s">
        <v>26</v>
      </c>
      <c r="H269" s="139">
        <v>216.57794000000001</v>
      </c>
      <c r="I269" s="20">
        <f>K269</f>
        <v>390.92167000000001</v>
      </c>
      <c r="J269" s="130" t="s">
        <v>26</v>
      </c>
      <c r="K269" s="24">
        <f>209.11142+181.81025</f>
        <v>390.92167000000001</v>
      </c>
      <c r="L269" s="2"/>
    </row>
    <row r="270" spans="2:12" ht="47.25" customHeight="1" x14ac:dyDescent="0.25">
      <c r="B270" s="163"/>
      <c r="C270" s="179" t="s">
        <v>57</v>
      </c>
      <c r="D270" s="180"/>
      <c r="E270" s="130" t="s">
        <v>26</v>
      </c>
      <c r="F270" s="139">
        <f t="shared" si="22"/>
        <v>210.67076999999998</v>
      </c>
      <c r="G270" s="127" t="s">
        <v>26</v>
      </c>
      <c r="H270" s="128">
        <f>210670.77/1000</f>
        <v>210.67076999999998</v>
      </c>
      <c r="I270" s="20">
        <f t="shared" ref="I270:I275" si="24">K270</f>
        <v>184.38218000000001</v>
      </c>
      <c r="J270" s="127" t="s">
        <v>26</v>
      </c>
      <c r="K270" s="25">
        <f>(169952.09+14430.09)/1000</f>
        <v>184.38218000000001</v>
      </c>
      <c r="L270" s="2"/>
    </row>
    <row r="271" spans="2:12" ht="55.5" customHeight="1" x14ac:dyDescent="0.25">
      <c r="B271" s="163"/>
      <c r="C271" s="179" t="s">
        <v>58</v>
      </c>
      <c r="D271" s="180"/>
      <c r="E271" s="130" t="s">
        <v>26</v>
      </c>
      <c r="F271" s="139">
        <f t="shared" si="22"/>
        <v>153.56925000000001</v>
      </c>
      <c r="G271" s="127" t="s">
        <v>26</v>
      </c>
      <c r="H271" s="128">
        <f>153569.25/1000</f>
        <v>153.56925000000001</v>
      </c>
      <c r="I271" s="20">
        <f t="shared" si="24"/>
        <v>140.20877000000002</v>
      </c>
      <c r="J271" s="127" t="s">
        <v>26</v>
      </c>
      <c r="K271" s="25">
        <f>(130094.46+10114.31)/1000</f>
        <v>140.20877000000002</v>
      </c>
      <c r="L271" s="2"/>
    </row>
    <row r="272" spans="2:12" ht="53.25" customHeight="1" x14ac:dyDescent="0.25">
      <c r="B272" s="163"/>
      <c r="C272" s="183" t="s">
        <v>59</v>
      </c>
      <c r="D272" s="183"/>
      <c r="E272" s="130" t="s">
        <v>26</v>
      </c>
      <c r="F272" s="139">
        <f t="shared" si="22"/>
        <v>166.42264</v>
      </c>
      <c r="G272" s="127" t="s">
        <v>26</v>
      </c>
      <c r="H272" s="139">
        <f>166422.64/1000</f>
        <v>166.42264</v>
      </c>
      <c r="I272" s="20">
        <f t="shared" si="24"/>
        <v>264.95736999999997</v>
      </c>
      <c r="J272" s="127" t="s">
        <v>26</v>
      </c>
      <c r="K272" s="24">
        <f>(244441.64+20515.73)/1000</f>
        <v>264.95736999999997</v>
      </c>
      <c r="L272" s="2"/>
    </row>
    <row r="273" spans="2:12" ht="53.25" customHeight="1" x14ac:dyDescent="0.25">
      <c r="B273" s="163"/>
      <c r="C273" s="179" t="s">
        <v>60</v>
      </c>
      <c r="D273" s="180"/>
      <c r="E273" s="130" t="s">
        <v>26</v>
      </c>
      <c r="F273" s="139">
        <f t="shared" si="22"/>
        <v>208.84573999999998</v>
      </c>
      <c r="G273" s="130" t="s">
        <v>26</v>
      </c>
      <c r="H273" s="139">
        <f>208845.74/1000</f>
        <v>208.84573999999998</v>
      </c>
      <c r="I273" s="20">
        <f t="shared" si="24"/>
        <v>163.29776000000001</v>
      </c>
      <c r="J273" s="130" t="s">
        <v>26</v>
      </c>
      <c r="K273" s="24">
        <f>(152216.48+11081.28)/1000</f>
        <v>163.29776000000001</v>
      </c>
      <c r="L273" s="2"/>
    </row>
    <row r="274" spans="2:12" ht="53.25" customHeight="1" x14ac:dyDescent="0.25">
      <c r="B274" s="163"/>
      <c r="C274" s="188" t="s">
        <v>61</v>
      </c>
      <c r="D274" s="167"/>
      <c r="E274" s="127" t="s">
        <v>26</v>
      </c>
      <c r="F274" s="128">
        <f t="shared" si="22"/>
        <v>154.09800582025898</v>
      </c>
      <c r="G274" s="127" t="s">
        <v>26</v>
      </c>
      <c r="H274" s="128">
        <f>154098.005820259/1000</f>
        <v>154.09800582025898</v>
      </c>
      <c r="I274" s="62">
        <f t="shared" si="24"/>
        <v>153.99395000000001</v>
      </c>
      <c r="J274" s="127" t="s">
        <v>26</v>
      </c>
      <c r="K274" s="25">
        <f>153993.95/1000</f>
        <v>153.99395000000001</v>
      </c>
      <c r="L274" s="2"/>
    </row>
    <row r="275" spans="2:12" ht="53.25" customHeight="1" x14ac:dyDescent="0.25">
      <c r="B275" s="163"/>
      <c r="C275" s="179" t="s">
        <v>62</v>
      </c>
      <c r="D275" s="180"/>
      <c r="E275" s="130" t="s">
        <v>26</v>
      </c>
      <c r="F275" s="139">
        <f t="shared" si="22"/>
        <v>0</v>
      </c>
      <c r="G275" s="130" t="s">
        <v>26</v>
      </c>
      <c r="H275" s="139">
        <v>0</v>
      </c>
      <c r="I275" s="20">
        <f t="shared" si="24"/>
        <v>-237.95166</v>
      </c>
      <c r="J275" s="130" t="s">
        <v>26</v>
      </c>
      <c r="K275" s="24">
        <f>-237951.66/1000</f>
        <v>-237.95166</v>
      </c>
      <c r="L275" s="2"/>
    </row>
    <row r="276" spans="2:12" ht="29.25" customHeight="1" x14ac:dyDescent="0.25">
      <c r="B276" s="163"/>
      <c r="C276" s="188" t="s">
        <v>349</v>
      </c>
      <c r="D276" s="167"/>
      <c r="E276" s="127" t="s">
        <v>26</v>
      </c>
      <c r="F276" s="128">
        <f t="shared" si="22"/>
        <v>201.28282999999999</v>
      </c>
      <c r="G276" s="127" t="s">
        <v>26</v>
      </c>
      <c r="H276" s="128">
        <v>201.28282999999999</v>
      </c>
      <c r="I276" s="138">
        <f t="shared" si="23"/>
        <v>201.28282999999999</v>
      </c>
      <c r="J276" s="127" t="s">
        <v>26</v>
      </c>
      <c r="K276" s="25">
        <f>H276</f>
        <v>201.28282999999999</v>
      </c>
      <c r="L276" s="2"/>
    </row>
    <row r="277" spans="2:12" ht="33.75" customHeight="1" x14ac:dyDescent="0.25">
      <c r="B277" s="163"/>
      <c r="C277" s="152" t="s">
        <v>350</v>
      </c>
      <c r="D277" s="153"/>
      <c r="E277" s="130" t="s">
        <v>26</v>
      </c>
      <c r="F277" s="139">
        <f>H277</f>
        <v>143.65825000000001</v>
      </c>
      <c r="G277" s="130" t="s">
        <v>26</v>
      </c>
      <c r="H277" s="139">
        <f>143658.25/1000</f>
        <v>143.65825000000001</v>
      </c>
      <c r="I277" s="139">
        <f t="shared" si="23"/>
        <v>143.65825000000001</v>
      </c>
      <c r="J277" s="130" t="s">
        <v>26</v>
      </c>
      <c r="K277" s="24">
        <v>143.65825000000001</v>
      </c>
      <c r="L277" s="2"/>
    </row>
    <row r="278" spans="2:12" ht="31.5" customHeight="1" x14ac:dyDescent="0.25">
      <c r="B278" s="163"/>
      <c r="C278" s="179" t="s">
        <v>351</v>
      </c>
      <c r="D278" s="180"/>
      <c r="E278" s="131" t="s">
        <v>26</v>
      </c>
      <c r="F278" s="139">
        <f>H278</f>
        <v>51.920392330000006</v>
      </c>
      <c r="G278" s="130" t="s">
        <v>26</v>
      </c>
      <c r="H278" s="139">
        <f>51920.39233/1000</f>
        <v>51.920392330000006</v>
      </c>
      <c r="I278" s="139">
        <f t="shared" si="23"/>
        <v>51.920392330000006</v>
      </c>
      <c r="J278" s="132" t="s">
        <v>26</v>
      </c>
      <c r="K278" s="24">
        <v>51.920392330000006</v>
      </c>
      <c r="L278" s="2"/>
    </row>
    <row r="279" spans="2:12" ht="31.5" customHeight="1" x14ac:dyDescent="0.25">
      <c r="B279" s="163"/>
      <c r="C279" s="179" t="s">
        <v>63</v>
      </c>
      <c r="D279" s="180"/>
      <c r="E279" s="130" t="s">
        <v>26</v>
      </c>
      <c r="F279" s="139">
        <f t="shared" ref="F279:F294" si="25">H279</f>
        <v>578.12059346902197</v>
      </c>
      <c r="G279" s="130" t="s">
        <v>26</v>
      </c>
      <c r="H279" s="139">
        <v>578.12059346902197</v>
      </c>
      <c r="I279" s="139">
        <f t="shared" si="23"/>
        <v>578.12059346902197</v>
      </c>
      <c r="J279" s="130" t="s">
        <v>26</v>
      </c>
      <c r="K279" s="24">
        <v>578.12059346902197</v>
      </c>
      <c r="L279" s="2"/>
    </row>
    <row r="280" spans="2:12" ht="31.5" customHeight="1" x14ac:dyDescent="0.25">
      <c r="B280" s="163"/>
      <c r="C280" s="179" t="s">
        <v>352</v>
      </c>
      <c r="D280" s="180"/>
      <c r="E280" s="130" t="s">
        <v>26</v>
      </c>
      <c r="F280" s="139">
        <f t="shared" si="25"/>
        <v>193.692240418832</v>
      </c>
      <c r="G280" s="130" t="s">
        <v>26</v>
      </c>
      <c r="H280" s="128">
        <v>193.692240418832</v>
      </c>
      <c r="I280" s="139">
        <f t="shared" si="23"/>
        <v>193.692240418832</v>
      </c>
      <c r="J280" s="130" t="s">
        <v>26</v>
      </c>
      <c r="K280" s="25">
        <v>193.692240418832</v>
      </c>
      <c r="L280" s="2"/>
    </row>
    <row r="281" spans="2:12" ht="31.5" customHeight="1" x14ac:dyDescent="0.25">
      <c r="B281" s="163"/>
      <c r="C281" s="179" t="s">
        <v>64</v>
      </c>
      <c r="D281" s="180"/>
      <c r="E281" s="130" t="s">
        <v>26</v>
      </c>
      <c r="F281" s="139">
        <f t="shared" si="25"/>
        <v>165.98063099999999</v>
      </c>
      <c r="G281" s="130" t="s">
        <v>26</v>
      </c>
      <c r="H281" s="139">
        <v>165.98063099999999</v>
      </c>
      <c r="I281" s="139">
        <f t="shared" si="23"/>
        <v>165.98063099999999</v>
      </c>
      <c r="J281" s="130" t="s">
        <v>26</v>
      </c>
      <c r="K281" s="140">
        <v>165.98063099999999</v>
      </c>
      <c r="L281" s="2"/>
    </row>
    <row r="282" spans="2:12" ht="31.5" customHeight="1" x14ac:dyDescent="0.25">
      <c r="B282" s="163"/>
      <c r="C282" s="179" t="s">
        <v>65</v>
      </c>
      <c r="D282" s="180"/>
      <c r="E282" s="130" t="s">
        <v>26</v>
      </c>
      <c r="F282" s="139">
        <f t="shared" si="25"/>
        <v>911.60294350000004</v>
      </c>
      <c r="G282" s="130" t="s">
        <v>26</v>
      </c>
      <c r="H282" s="139">
        <v>911.60294350000004</v>
      </c>
      <c r="I282" s="139">
        <f t="shared" si="23"/>
        <v>911.60294350000004</v>
      </c>
      <c r="J282" s="130" t="s">
        <v>26</v>
      </c>
      <c r="K282" s="140">
        <v>911.60294350000004</v>
      </c>
      <c r="L282" s="2"/>
    </row>
    <row r="283" spans="2:12" ht="31.5" customHeight="1" x14ac:dyDescent="0.25">
      <c r="B283" s="163"/>
      <c r="C283" s="179" t="s">
        <v>66</v>
      </c>
      <c r="D283" s="180"/>
      <c r="E283" s="130" t="s">
        <v>26</v>
      </c>
      <c r="F283" s="139">
        <f t="shared" si="25"/>
        <v>653.24639999999999</v>
      </c>
      <c r="G283" s="130" t="s">
        <v>26</v>
      </c>
      <c r="H283" s="139">
        <f>653246.4/1000</f>
        <v>653.24639999999999</v>
      </c>
      <c r="I283" s="139">
        <f t="shared" si="23"/>
        <v>653.24639999999999</v>
      </c>
      <c r="J283" s="130" t="s">
        <v>26</v>
      </c>
      <c r="K283" s="140">
        <f>653246.4/1000</f>
        <v>653.24639999999999</v>
      </c>
      <c r="L283" s="2"/>
    </row>
    <row r="284" spans="2:12" ht="31.5" customHeight="1" x14ac:dyDescent="0.25">
      <c r="B284" s="163"/>
      <c r="C284" s="179" t="s">
        <v>353</v>
      </c>
      <c r="D284" s="180"/>
      <c r="E284" s="130" t="s">
        <v>26</v>
      </c>
      <c r="F284" s="139">
        <f t="shared" si="25"/>
        <v>680.64062000000001</v>
      </c>
      <c r="G284" s="130" t="s">
        <v>26</v>
      </c>
      <c r="H284" s="139">
        <f>680640.62/1000</f>
        <v>680.64062000000001</v>
      </c>
      <c r="I284" s="21">
        <f t="shared" si="23"/>
        <v>680.64062000000001</v>
      </c>
      <c r="J284" s="130" t="s">
        <v>26</v>
      </c>
      <c r="K284" s="140">
        <f>680640.62/1000</f>
        <v>680.64062000000001</v>
      </c>
      <c r="L284" s="2"/>
    </row>
    <row r="285" spans="2:12" ht="31.5" customHeight="1" x14ac:dyDescent="0.25">
      <c r="B285" s="163"/>
      <c r="C285" s="179" t="s">
        <v>67</v>
      </c>
      <c r="D285" s="180"/>
      <c r="E285" s="130" t="s">
        <v>26</v>
      </c>
      <c r="F285" s="139">
        <f t="shared" si="25"/>
        <v>195.45251000000002</v>
      </c>
      <c r="G285" s="130" t="s">
        <v>26</v>
      </c>
      <c r="H285" s="139">
        <f>(8156.62+187295.89)/1000</f>
        <v>195.45251000000002</v>
      </c>
      <c r="I285" s="21">
        <f t="shared" si="23"/>
        <v>195.45251000000002</v>
      </c>
      <c r="J285" s="130" t="s">
        <v>26</v>
      </c>
      <c r="K285" s="140">
        <f>H285</f>
        <v>195.45251000000002</v>
      </c>
      <c r="L285" s="2"/>
    </row>
    <row r="286" spans="2:12" ht="44.25" customHeight="1" x14ac:dyDescent="0.25">
      <c r="B286" s="163"/>
      <c r="C286" s="165" t="s">
        <v>107</v>
      </c>
      <c r="D286" s="165"/>
      <c r="E286" s="130" t="s">
        <v>26</v>
      </c>
      <c r="F286" s="128">
        <f t="shared" si="25"/>
        <v>83.547610000000006</v>
      </c>
      <c r="G286" s="127" t="s">
        <v>26</v>
      </c>
      <c r="H286" s="128">
        <f>83547.61/1000</f>
        <v>83.547610000000006</v>
      </c>
      <c r="I286" s="62">
        <f t="shared" si="23"/>
        <v>83.547610000000006</v>
      </c>
      <c r="J286" s="127" t="s">
        <v>26</v>
      </c>
      <c r="K286" s="25">
        <f>H286</f>
        <v>83.547610000000006</v>
      </c>
      <c r="L286" s="2"/>
    </row>
    <row r="287" spans="2:12" ht="42" customHeight="1" thickBot="1" x14ac:dyDescent="0.3">
      <c r="B287" s="151"/>
      <c r="C287" s="189" t="s">
        <v>68</v>
      </c>
      <c r="D287" s="190"/>
      <c r="E287" s="135" t="s">
        <v>26</v>
      </c>
      <c r="F287" s="137">
        <f>H287</f>
        <v>433.24063944618797</v>
      </c>
      <c r="G287" s="135" t="s">
        <v>26</v>
      </c>
      <c r="H287" s="54">
        <f>433240.639446188/1000</f>
        <v>433.24063944618797</v>
      </c>
      <c r="I287" s="147">
        <f>K287</f>
        <v>433.24063944618797</v>
      </c>
      <c r="J287" s="135" t="s">
        <v>26</v>
      </c>
      <c r="K287" s="144">
        <f>H287</f>
        <v>433.24063944618797</v>
      </c>
      <c r="L287" s="2"/>
    </row>
    <row r="288" spans="2:12" ht="50.25" customHeight="1" x14ac:dyDescent="0.25">
      <c r="B288" s="150" t="s">
        <v>354</v>
      </c>
      <c r="C288" s="34" t="s">
        <v>27</v>
      </c>
      <c r="D288" s="90" t="s">
        <v>28</v>
      </c>
      <c r="E288" s="35" t="s">
        <v>29</v>
      </c>
      <c r="F288" s="12" t="str">
        <f>H288</f>
        <v>__</v>
      </c>
      <c r="G288" s="14" t="s">
        <v>26</v>
      </c>
      <c r="H288" s="14" t="s">
        <v>26</v>
      </c>
      <c r="I288" s="48">
        <f t="shared" si="23"/>
        <v>500</v>
      </c>
      <c r="J288" s="35" t="s">
        <v>42</v>
      </c>
      <c r="K288" s="36">
        <f>500000/1000</f>
        <v>500</v>
      </c>
      <c r="L288" s="2"/>
    </row>
    <row r="289" spans="2:12" ht="58.5" customHeight="1" x14ac:dyDescent="0.25">
      <c r="B289" s="163"/>
      <c r="C289" s="188" t="s">
        <v>58</v>
      </c>
      <c r="D289" s="167"/>
      <c r="E289" s="13" t="s">
        <v>26</v>
      </c>
      <c r="F289" s="14">
        <f t="shared" si="25"/>
        <v>37.987650000000002</v>
      </c>
      <c r="G289" s="14" t="s">
        <v>26</v>
      </c>
      <c r="H289" s="14">
        <f>37987.65/1000</f>
        <v>37.987650000000002</v>
      </c>
      <c r="I289" s="62">
        <f t="shared" si="23"/>
        <v>142.96204</v>
      </c>
      <c r="J289" s="13" t="s">
        <v>26</v>
      </c>
      <c r="K289" s="25">
        <f>(132015.67+10946.37)/1000</f>
        <v>142.96204</v>
      </c>
      <c r="L289" s="2"/>
    </row>
    <row r="290" spans="2:12" ht="53.25" customHeight="1" x14ac:dyDescent="0.25">
      <c r="B290" s="163"/>
      <c r="C290" s="165" t="s">
        <v>59</v>
      </c>
      <c r="D290" s="165"/>
      <c r="E290" s="13" t="s">
        <v>26</v>
      </c>
      <c r="F290" s="14">
        <f t="shared" si="25"/>
        <v>146.98126000000002</v>
      </c>
      <c r="G290" s="13" t="s">
        <v>26</v>
      </c>
      <c r="H290" s="14">
        <f>146981.26/1000</f>
        <v>146.98126000000002</v>
      </c>
      <c r="I290" s="62">
        <f t="shared" si="23"/>
        <v>179.94289999999998</v>
      </c>
      <c r="J290" s="13" t="s">
        <v>26</v>
      </c>
      <c r="K290" s="25">
        <f>(166417.96+13524.94)/1000</f>
        <v>179.94289999999998</v>
      </c>
      <c r="L290" s="2"/>
    </row>
    <row r="291" spans="2:12" ht="53.25" customHeight="1" x14ac:dyDescent="0.25">
      <c r="B291" s="163"/>
      <c r="C291" s="179" t="s">
        <v>60</v>
      </c>
      <c r="D291" s="180"/>
      <c r="E291" s="11" t="s">
        <v>26</v>
      </c>
      <c r="F291" s="12">
        <f t="shared" si="25"/>
        <v>136.68001999999998</v>
      </c>
      <c r="G291" s="11" t="s">
        <v>26</v>
      </c>
      <c r="H291" s="12">
        <f>136680.02/1000</f>
        <v>136.68001999999998</v>
      </c>
      <c r="I291" s="20">
        <f t="shared" si="23"/>
        <v>89.382429999999999</v>
      </c>
      <c r="J291" s="11" t="s">
        <v>26</v>
      </c>
      <c r="K291" s="24">
        <f>(83397+5985.43)/1000</f>
        <v>89.382429999999999</v>
      </c>
      <c r="L291" s="2"/>
    </row>
    <row r="292" spans="2:12" ht="53.25" customHeight="1" x14ac:dyDescent="0.25">
      <c r="B292" s="163"/>
      <c r="C292" s="188" t="s">
        <v>61</v>
      </c>
      <c r="D292" s="167"/>
      <c r="E292" s="13" t="s">
        <v>26</v>
      </c>
      <c r="F292" s="14">
        <f t="shared" si="25"/>
        <v>60.181677770792795</v>
      </c>
      <c r="G292" s="13" t="s">
        <v>26</v>
      </c>
      <c r="H292" s="12">
        <f>60181.6777707928/1000</f>
        <v>60.181677770792795</v>
      </c>
      <c r="I292" s="62">
        <f t="shared" si="23"/>
        <v>0</v>
      </c>
      <c r="J292" s="13" t="s">
        <v>26</v>
      </c>
      <c r="K292" s="25">
        <v>0</v>
      </c>
      <c r="L292" s="2"/>
    </row>
    <row r="293" spans="2:12" ht="53.25" customHeight="1" x14ac:dyDescent="0.25">
      <c r="B293" s="163"/>
      <c r="C293" s="179" t="s">
        <v>62</v>
      </c>
      <c r="D293" s="180"/>
      <c r="E293" s="11" t="s">
        <v>26</v>
      </c>
      <c r="F293" s="12">
        <f t="shared" si="25"/>
        <v>0</v>
      </c>
      <c r="G293" s="11" t="s">
        <v>26</v>
      </c>
      <c r="H293" s="12">
        <v>0</v>
      </c>
      <c r="I293" s="20">
        <f t="shared" si="23"/>
        <v>-30.45674</v>
      </c>
      <c r="J293" s="11" t="s">
        <v>26</v>
      </c>
      <c r="K293" s="24">
        <f>-30456.74/1000</f>
        <v>-30.45674</v>
      </c>
      <c r="L293" s="2"/>
    </row>
    <row r="294" spans="2:12" ht="53.25" customHeight="1" thickBot="1" x14ac:dyDescent="0.3">
      <c r="B294" s="151"/>
      <c r="C294" s="181" t="s">
        <v>67</v>
      </c>
      <c r="D294" s="182"/>
      <c r="E294" s="38" t="s">
        <v>26</v>
      </c>
      <c r="F294" s="39">
        <f t="shared" si="25"/>
        <v>44.473399999999998</v>
      </c>
      <c r="G294" s="38" t="s">
        <v>26</v>
      </c>
      <c r="H294" s="39">
        <f>44473.4/1000</f>
        <v>44.473399999999998</v>
      </c>
      <c r="I294" s="40">
        <f t="shared" si="23"/>
        <v>44.473399999999998</v>
      </c>
      <c r="J294" s="38" t="s">
        <v>26</v>
      </c>
      <c r="K294" s="41">
        <f>H294</f>
        <v>44.473399999999998</v>
      </c>
      <c r="L294" s="2"/>
    </row>
    <row r="295" spans="2:12" ht="30" x14ac:dyDescent="0.25">
      <c r="B295" s="150" t="s">
        <v>355</v>
      </c>
      <c r="C295" s="34" t="s">
        <v>356</v>
      </c>
      <c r="D295" s="34" t="s">
        <v>357</v>
      </c>
      <c r="E295" s="56">
        <f>432203.39/1000*1.18</f>
        <v>510.00000019999999</v>
      </c>
      <c r="F295" s="35">
        <f t="shared" si="22"/>
        <v>510.00000019999999</v>
      </c>
      <c r="G295" s="34" t="s">
        <v>358</v>
      </c>
      <c r="H295" s="35">
        <v>510.00000019999999</v>
      </c>
      <c r="I295" s="35" t="s">
        <v>26</v>
      </c>
      <c r="J295" s="90" t="s">
        <v>26</v>
      </c>
      <c r="K295" s="36" t="s">
        <v>26</v>
      </c>
      <c r="L295" s="2"/>
    </row>
    <row r="296" spans="2:12" ht="45" x14ac:dyDescent="0.25">
      <c r="B296" s="163"/>
      <c r="C296" s="11" t="s">
        <v>187</v>
      </c>
      <c r="D296" s="88" t="s">
        <v>205</v>
      </c>
      <c r="E296" s="12">
        <v>2524</v>
      </c>
      <c r="F296" s="12">
        <f>H296</f>
        <v>2524</v>
      </c>
      <c r="G296" s="82" t="s">
        <v>206</v>
      </c>
      <c r="H296" s="12">
        <v>2524</v>
      </c>
      <c r="I296" s="12" t="s">
        <v>26</v>
      </c>
      <c r="J296" s="12" t="s">
        <v>26</v>
      </c>
      <c r="K296" s="19" t="s">
        <v>26</v>
      </c>
      <c r="L296" s="2"/>
    </row>
    <row r="297" spans="2:12" ht="30" x14ac:dyDescent="0.25">
      <c r="B297" s="163"/>
      <c r="C297" s="11" t="s">
        <v>359</v>
      </c>
      <c r="D297" s="11" t="s">
        <v>360</v>
      </c>
      <c r="E297" s="57">
        <f>F297*2</f>
        <v>2269</v>
      </c>
      <c r="F297" s="12">
        <f>H297</f>
        <v>1134.5</v>
      </c>
      <c r="G297" s="11" t="s">
        <v>361</v>
      </c>
      <c r="H297" s="12">
        <v>1134.5</v>
      </c>
      <c r="I297" s="89">
        <f t="shared" ref="I297:I298" si="26">K297</f>
        <v>2269</v>
      </c>
      <c r="J297" s="14" t="s">
        <v>362</v>
      </c>
      <c r="K297" s="17">
        <v>2269</v>
      </c>
      <c r="L297" s="2"/>
    </row>
    <row r="298" spans="2:12" ht="30" x14ac:dyDescent="0.25">
      <c r="B298" s="163"/>
      <c r="C298" s="179" t="s">
        <v>363</v>
      </c>
      <c r="D298" s="180"/>
      <c r="E298" s="57" t="s">
        <v>26</v>
      </c>
      <c r="F298" s="12">
        <f>H298</f>
        <v>35</v>
      </c>
      <c r="G298" s="11" t="s">
        <v>364</v>
      </c>
      <c r="H298" s="12">
        <v>35</v>
      </c>
      <c r="I298" s="89">
        <f t="shared" si="26"/>
        <v>35</v>
      </c>
      <c r="J298" s="12" t="s">
        <v>365</v>
      </c>
      <c r="K298" s="17">
        <v>35</v>
      </c>
      <c r="L298" s="2"/>
    </row>
    <row r="299" spans="2:12" ht="45" x14ac:dyDescent="0.25">
      <c r="B299" s="163"/>
      <c r="C299" s="13" t="s">
        <v>43</v>
      </c>
      <c r="D299" s="13" t="s">
        <v>44</v>
      </c>
      <c r="E299" s="53" t="s">
        <v>26</v>
      </c>
      <c r="F299" s="12">
        <f>H299</f>
        <v>65.574100000000001</v>
      </c>
      <c r="G299" s="12" t="s">
        <v>239</v>
      </c>
      <c r="H299" s="12">
        <v>65.574100000000001</v>
      </c>
      <c r="I299" s="89">
        <f>K299</f>
        <v>65.574100000000001</v>
      </c>
      <c r="J299" s="14" t="s">
        <v>240</v>
      </c>
      <c r="K299" s="19">
        <v>65.574100000000001</v>
      </c>
      <c r="L299" s="2"/>
    </row>
    <row r="300" spans="2:12" ht="30" x14ac:dyDescent="0.25">
      <c r="B300" s="163"/>
      <c r="C300" s="11" t="s">
        <v>366</v>
      </c>
      <c r="D300" s="11" t="s">
        <v>367</v>
      </c>
      <c r="E300" s="57">
        <f>1527804.45/1000*1.18</f>
        <v>1802.8092509999997</v>
      </c>
      <c r="F300" s="12">
        <f>H300</f>
        <v>1802.80925</v>
      </c>
      <c r="G300" s="12" t="s">
        <v>368</v>
      </c>
      <c r="H300" s="12">
        <v>1802.80925</v>
      </c>
      <c r="I300" s="12" t="s">
        <v>26</v>
      </c>
      <c r="J300" s="22" t="s">
        <v>26</v>
      </c>
      <c r="K300" s="17" t="s">
        <v>26</v>
      </c>
      <c r="L300" s="2"/>
    </row>
    <row r="301" spans="2:12" ht="45" x14ac:dyDescent="0.25">
      <c r="B301" s="163"/>
      <c r="C301" s="164" t="s">
        <v>202</v>
      </c>
      <c r="D301" s="164" t="s">
        <v>229</v>
      </c>
      <c r="E301" s="168">
        <v>35960</v>
      </c>
      <c r="F301" s="168">
        <f>H301+H302</f>
        <v>14384</v>
      </c>
      <c r="G301" s="91" t="s">
        <v>369</v>
      </c>
      <c r="H301" s="14">
        <v>7192</v>
      </c>
      <c r="I301" s="168">
        <f>K301+K302</f>
        <v>14384</v>
      </c>
      <c r="J301" s="14" t="s">
        <v>233</v>
      </c>
      <c r="K301" s="19">
        <f>1798*2</f>
        <v>3596</v>
      </c>
      <c r="L301" s="2"/>
    </row>
    <row r="302" spans="2:12" ht="45" x14ac:dyDescent="0.25">
      <c r="B302" s="163"/>
      <c r="C302" s="165"/>
      <c r="D302" s="165"/>
      <c r="E302" s="156"/>
      <c r="F302" s="156"/>
      <c r="G302" s="91" t="s">
        <v>230</v>
      </c>
      <c r="H302" s="14">
        <v>7192</v>
      </c>
      <c r="I302" s="156"/>
      <c r="J302" s="14" t="s">
        <v>370</v>
      </c>
      <c r="K302" s="19">
        <v>10788</v>
      </c>
      <c r="L302" s="2"/>
    </row>
    <row r="303" spans="2:12" ht="60" x14ac:dyDescent="0.25">
      <c r="B303" s="163"/>
      <c r="C303" s="179" t="s">
        <v>199</v>
      </c>
      <c r="D303" s="180"/>
      <c r="E303" s="12" t="s">
        <v>26</v>
      </c>
      <c r="F303" s="12">
        <f>H303</f>
        <v>11.4</v>
      </c>
      <c r="G303" s="82" t="s">
        <v>371</v>
      </c>
      <c r="H303" s="12">
        <f>2.85*4</f>
        <v>11.4</v>
      </c>
      <c r="I303" s="12">
        <f>K303</f>
        <v>11.4</v>
      </c>
      <c r="J303" s="12" t="s">
        <v>26</v>
      </c>
      <c r="K303" s="17">
        <v>11.4</v>
      </c>
      <c r="L303" s="2"/>
    </row>
    <row r="304" spans="2:12" ht="45" x14ac:dyDescent="0.25">
      <c r="B304" s="163"/>
      <c r="C304" s="13" t="s">
        <v>43</v>
      </c>
      <c r="D304" s="13" t="s">
        <v>44</v>
      </c>
      <c r="E304" s="53" t="s">
        <v>26</v>
      </c>
      <c r="F304" s="14" t="s">
        <v>26</v>
      </c>
      <c r="G304" s="91" t="s">
        <v>26</v>
      </c>
      <c r="H304" s="14" t="s">
        <v>26</v>
      </c>
      <c r="I304" s="14">
        <f>K304</f>
        <v>1208.2560000000001</v>
      </c>
      <c r="J304" s="14" t="s">
        <v>201</v>
      </c>
      <c r="K304" s="19">
        <f>151.032*8</f>
        <v>1208.2560000000001</v>
      </c>
      <c r="L304" s="2"/>
    </row>
    <row r="305" spans="2:12" ht="60" x14ac:dyDescent="0.25">
      <c r="B305" s="163"/>
      <c r="C305" s="11" t="s">
        <v>187</v>
      </c>
      <c r="D305" s="11" t="s">
        <v>207</v>
      </c>
      <c r="E305" s="57">
        <v>17100</v>
      </c>
      <c r="F305" s="14">
        <f>H305</f>
        <v>5700</v>
      </c>
      <c r="G305" s="91" t="s">
        <v>208</v>
      </c>
      <c r="H305" s="14">
        <v>5700</v>
      </c>
      <c r="I305" s="14">
        <f>K305</f>
        <v>5700</v>
      </c>
      <c r="J305" s="14" t="s">
        <v>209</v>
      </c>
      <c r="K305" s="19">
        <v>5700</v>
      </c>
      <c r="L305" s="2"/>
    </row>
    <row r="306" spans="2:12" ht="45" x14ac:dyDescent="0.25">
      <c r="B306" s="163"/>
      <c r="C306" s="11" t="s">
        <v>187</v>
      </c>
      <c r="D306" s="11" t="s">
        <v>216</v>
      </c>
      <c r="E306" s="12">
        <v>7700</v>
      </c>
      <c r="F306" s="12">
        <f t="shared" ref="F306" si="27">H306</f>
        <v>7700</v>
      </c>
      <c r="G306" s="14" t="s">
        <v>217</v>
      </c>
      <c r="H306" s="12">
        <f>3850*2</f>
        <v>7700</v>
      </c>
      <c r="I306" s="21">
        <f t="shared" ref="I306" si="28">K306</f>
        <v>7700</v>
      </c>
      <c r="J306" s="14" t="s">
        <v>372</v>
      </c>
      <c r="K306" s="19">
        <f>3850*2</f>
        <v>7700</v>
      </c>
      <c r="L306" s="2"/>
    </row>
    <row r="307" spans="2:12" ht="45" x14ac:dyDescent="0.25">
      <c r="B307" s="163"/>
      <c r="C307" s="179" t="s">
        <v>199</v>
      </c>
      <c r="D307" s="180"/>
      <c r="E307" s="53" t="s">
        <v>26</v>
      </c>
      <c r="F307" s="14">
        <f>H307</f>
        <v>5.5</v>
      </c>
      <c r="G307" s="14" t="s">
        <v>373</v>
      </c>
      <c r="H307" s="14">
        <f>2.75*2</f>
        <v>5.5</v>
      </c>
      <c r="I307" s="14">
        <f>K307</f>
        <v>5.5</v>
      </c>
      <c r="J307" s="14" t="s">
        <v>26</v>
      </c>
      <c r="K307" s="19">
        <f>2.75*2</f>
        <v>5.5</v>
      </c>
      <c r="L307" s="2"/>
    </row>
    <row r="308" spans="2:12" ht="45" x14ac:dyDescent="0.25">
      <c r="B308" s="163"/>
      <c r="C308" s="13" t="s">
        <v>43</v>
      </c>
      <c r="D308" s="13" t="s">
        <v>44</v>
      </c>
      <c r="E308" s="53" t="s">
        <v>26</v>
      </c>
      <c r="F308" s="14" t="s">
        <v>26</v>
      </c>
      <c r="G308" s="14" t="s">
        <v>26</v>
      </c>
      <c r="H308" s="14" t="s">
        <v>26</v>
      </c>
      <c r="I308" s="14">
        <f>K308</f>
        <v>236.39000000000001</v>
      </c>
      <c r="J308" s="14" t="s">
        <v>79</v>
      </c>
      <c r="K308" s="19">
        <f>590.975/5*2</f>
        <v>236.39000000000001</v>
      </c>
      <c r="L308" s="2"/>
    </row>
    <row r="309" spans="2:12" ht="30" x14ac:dyDescent="0.25">
      <c r="B309" s="163"/>
      <c r="C309" s="13" t="s">
        <v>374</v>
      </c>
      <c r="D309" s="13" t="s">
        <v>375</v>
      </c>
      <c r="E309" s="53">
        <v>5977.88</v>
      </c>
      <c r="F309" s="14">
        <f>H309</f>
        <v>5977.88</v>
      </c>
      <c r="G309" s="14" t="s">
        <v>376</v>
      </c>
      <c r="H309" s="14">
        <v>5977.88</v>
      </c>
      <c r="I309" s="14">
        <f>K309</f>
        <v>5977.88</v>
      </c>
      <c r="J309" s="14" t="s">
        <v>377</v>
      </c>
      <c r="K309" s="19">
        <v>5977.88</v>
      </c>
      <c r="L309" s="2"/>
    </row>
    <row r="310" spans="2:12" ht="45" x14ac:dyDescent="0.25">
      <c r="B310" s="163"/>
      <c r="C310" s="11" t="s">
        <v>43</v>
      </c>
      <c r="D310" s="11" t="s">
        <v>44</v>
      </c>
      <c r="E310" s="57" t="s">
        <v>26</v>
      </c>
      <c r="F310" s="14">
        <f>H310</f>
        <v>11.35797</v>
      </c>
      <c r="G310" s="12" t="s">
        <v>239</v>
      </c>
      <c r="H310" s="12">
        <v>11.35797</v>
      </c>
      <c r="I310" s="21">
        <f>K310</f>
        <v>11.35797</v>
      </c>
      <c r="J310" s="12" t="s">
        <v>240</v>
      </c>
      <c r="K310" s="17">
        <v>11.35797</v>
      </c>
      <c r="L310" s="2"/>
    </row>
    <row r="311" spans="2:12" ht="37.5" customHeight="1" x14ac:dyDescent="0.25">
      <c r="B311" s="163"/>
      <c r="C311" s="13" t="s">
        <v>356</v>
      </c>
      <c r="D311" s="13" t="s">
        <v>378</v>
      </c>
      <c r="E311" s="53">
        <v>456</v>
      </c>
      <c r="F311" s="14">
        <f>H311</f>
        <v>456</v>
      </c>
      <c r="G311" s="14" t="s">
        <v>379</v>
      </c>
      <c r="H311" s="14">
        <v>456</v>
      </c>
      <c r="I311" s="14" t="s">
        <v>26</v>
      </c>
      <c r="J311" s="14" t="s">
        <v>26</v>
      </c>
      <c r="K311" s="19" t="s">
        <v>26</v>
      </c>
      <c r="L311" s="2"/>
    </row>
    <row r="312" spans="2:12" ht="51.75" customHeight="1" x14ac:dyDescent="0.25">
      <c r="B312" s="163"/>
      <c r="C312" s="164" t="s">
        <v>380</v>
      </c>
      <c r="D312" s="164" t="s">
        <v>381</v>
      </c>
      <c r="E312" s="168">
        <v>1766.16</v>
      </c>
      <c r="F312" s="168">
        <f>H312+H313</f>
        <v>1766.16</v>
      </c>
      <c r="G312" s="14" t="s">
        <v>382</v>
      </c>
      <c r="H312" s="14">
        <f>553864.65/1000</f>
        <v>553.86464999999998</v>
      </c>
      <c r="I312" s="168">
        <f>K312</f>
        <v>1766.16</v>
      </c>
      <c r="J312" s="168" t="s">
        <v>383</v>
      </c>
      <c r="K312" s="197">
        <v>1766.16</v>
      </c>
      <c r="L312" s="2"/>
    </row>
    <row r="313" spans="2:12" ht="51.75" customHeight="1" x14ac:dyDescent="0.25">
      <c r="B313" s="163"/>
      <c r="C313" s="165"/>
      <c r="D313" s="165"/>
      <c r="E313" s="156"/>
      <c r="F313" s="156"/>
      <c r="G313" s="14" t="s">
        <v>384</v>
      </c>
      <c r="H313" s="14">
        <f>1212295.35/1000</f>
        <v>1212.2953500000001</v>
      </c>
      <c r="I313" s="156"/>
      <c r="J313" s="156"/>
      <c r="K313" s="199"/>
      <c r="L313" s="2"/>
    </row>
    <row r="314" spans="2:12" ht="49.5" customHeight="1" x14ac:dyDescent="0.25">
      <c r="B314" s="163"/>
      <c r="C314" s="164" t="s">
        <v>385</v>
      </c>
      <c r="D314" s="164" t="s">
        <v>386</v>
      </c>
      <c r="E314" s="168">
        <f>9919946.91/1000</f>
        <v>9919.9469100000006</v>
      </c>
      <c r="F314" s="168">
        <f>H314+H315+H316</f>
        <v>9919.9469099999988</v>
      </c>
      <c r="G314" s="14" t="s">
        <v>387</v>
      </c>
      <c r="H314" s="14">
        <v>4959.9734500000004</v>
      </c>
      <c r="I314" s="168">
        <f>K314</f>
        <v>9919.9469100000006</v>
      </c>
      <c r="J314" s="12" t="s">
        <v>388</v>
      </c>
      <c r="K314" s="17">
        <f>9919946.91/1000</f>
        <v>9919.9469100000006</v>
      </c>
      <c r="L314" s="2"/>
    </row>
    <row r="315" spans="2:12" ht="49.5" customHeight="1" x14ac:dyDescent="0.25">
      <c r="B315" s="163"/>
      <c r="C315" s="161"/>
      <c r="D315" s="161"/>
      <c r="E315" s="169"/>
      <c r="F315" s="169"/>
      <c r="G315" s="14" t="s">
        <v>389</v>
      </c>
      <c r="H315" s="14">
        <f>3004590.57/1000</f>
        <v>3004.5905699999998</v>
      </c>
      <c r="I315" s="169"/>
      <c r="J315" s="14" t="s">
        <v>26</v>
      </c>
      <c r="K315" s="19" t="s">
        <v>26</v>
      </c>
      <c r="L315" s="2"/>
    </row>
    <row r="316" spans="2:12" ht="49.5" customHeight="1" x14ac:dyDescent="0.25">
      <c r="B316" s="163"/>
      <c r="C316" s="165"/>
      <c r="D316" s="165"/>
      <c r="E316" s="156"/>
      <c r="F316" s="156"/>
      <c r="G316" s="14" t="s">
        <v>390</v>
      </c>
      <c r="H316" s="14">
        <f>1955382.89/1000</f>
        <v>1955.3828899999999</v>
      </c>
      <c r="I316" s="156"/>
      <c r="J316" s="14" t="s">
        <v>26</v>
      </c>
      <c r="K316" s="19" t="s">
        <v>26</v>
      </c>
      <c r="L316" s="2"/>
    </row>
    <row r="317" spans="2:12" ht="32.25" customHeight="1" x14ac:dyDescent="0.25">
      <c r="B317" s="163"/>
      <c r="C317" s="164" t="s">
        <v>391</v>
      </c>
      <c r="D317" s="164" t="s">
        <v>392</v>
      </c>
      <c r="E317" s="168">
        <v>4500</v>
      </c>
      <c r="F317" s="168">
        <f>H317+H318</f>
        <v>4500</v>
      </c>
      <c r="G317" s="12" t="s">
        <v>393</v>
      </c>
      <c r="H317" s="12">
        <f>3150000/1000</f>
        <v>3150</v>
      </c>
      <c r="I317" s="168">
        <f>K317+K318</f>
        <v>4500</v>
      </c>
      <c r="J317" s="168" t="s">
        <v>394</v>
      </c>
      <c r="K317" s="197">
        <f>4500000/1000</f>
        <v>4500</v>
      </c>
      <c r="L317" s="2"/>
    </row>
    <row r="318" spans="2:12" ht="32.25" customHeight="1" x14ac:dyDescent="0.25">
      <c r="B318" s="163"/>
      <c r="C318" s="165"/>
      <c r="D318" s="165"/>
      <c r="E318" s="156"/>
      <c r="F318" s="156"/>
      <c r="G318" s="14" t="s">
        <v>395</v>
      </c>
      <c r="H318" s="14">
        <f>1350000/1000</f>
        <v>1350</v>
      </c>
      <c r="I318" s="156"/>
      <c r="J318" s="156"/>
      <c r="K318" s="199"/>
      <c r="L318" s="2"/>
    </row>
    <row r="319" spans="2:12" ht="47.25" customHeight="1" x14ac:dyDescent="0.25">
      <c r="B319" s="163"/>
      <c r="C319" s="11" t="s">
        <v>396</v>
      </c>
      <c r="D319" s="22" t="s">
        <v>397</v>
      </c>
      <c r="E319" s="14">
        <f>3788600/1000</f>
        <v>3788.6</v>
      </c>
      <c r="F319" s="14">
        <f>H319</f>
        <v>3788.6</v>
      </c>
      <c r="G319" s="14" t="s">
        <v>398</v>
      </c>
      <c r="H319" s="14">
        <f>3788600/1000</f>
        <v>3788.6</v>
      </c>
      <c r="I319" s="12">
        <f t="shared" ref="I319:I326" si="29">K319</f>
        <v>3788.6</v>
      </c>
      <c r="J319" s="12" t="s">
        <v>399</v>
      </c>
      <c r="K319" s="19">
        <f>3788600/1000</f>
        <v>3788.6</v>
      </c>
      <c r="L319" s="2"/>
    </row>
    <row r="320" spans="2:12" ht="42.75" customHeight="1" x14ac:dyDescent="0.25">
      <c r="B320" s="163"/>
      <c r="C320" s="11" t="s">
        <v>43</v>
      </c>
      <c r="D320" s="11" t="s">
        <v>44</v>
      </c>
      <c r="E320" s="57" t="s">
        <v>26</v>
      </c>
      <c r="F320" s="14">
        <f>H320</f>
        <v>105.70194000000001</v>
      </c>
      <c r="G320" s="12" t="s">
        <v>45</v>
      </c>
      <c r="H320" s="12">
        <f>105701.94/1000</f>
        <v>105.70194000000001</v>
      </c>
      <c r="I320" s="21">
        <f t="shared" si="29"/>
        <v>105.70194000000001</v>
      </c>
      <c r="J320" s="12" t="s">
        <v>400</v>
      </c>
      <c r="K320" s="17">
        <f>105701.94/1000</f>
        <v>105.70194000000001</v>
      </c>
      <c r="L320" s="2"/>
    </row>
    <row r="321" spans="2:12" ht="32.25" customHeight="1" x14ac:dyDescent="0.25">
      <c r="B321" s="163"/>
      <c r="C321" s="179" t="s">
        <v>199</v>
      </c>
      <c r="D321" s="180"/>
      <c r="E321" s="53" t="s">
        <v>26</v>
      </c>
      <c r="F321" s="14">
        <f>H321</f>
        <v>2.85</v>
      </c>
      <c r="G321" s="14" t="s">
        <v>401</v>
      </c>
      <c r="H321" s="12">
        <f>2850/1000</f>
        <v>2.85</v>
      </c>
      <c r="I321" s="89">
        <f t="shared" si="29"/>
        <v>2.85</v>
      </c>
      <c r="J321" s="14" t="s">
        <v>26</v>
      </c>
      <c r="K321" s="19">
        <f>2850/1000</f>
        <v>2.85</v>
      </c>
      <c r="L321" s="2"/>
    </row>
    <row r="322" spans="2:12" ht="42.75" customHeight="1" x14ac:dyDescent="0.25">
      <c r="B322" s="163"/>
      <c r="C322" s="11" t="s">
        <v>250</v>
      </c>
      <c r="D322" s="22" t="s">
        <v>402</v>
      </c>
      <c r="E322" s="53">
        <f>268000/1000</f>
        <v>268</v>
      </c>
      <c r="F322" s="14">
        <f>H322</f>
        <v>268</v>
      </c>
      <c r="G322" s="14" t="s">
        <v>403</v>
      </c>
      <c r="H322" s="14">
        <f>268000/1000</f>
        <v>268</v>
      </c>
      <c r="I322" s="14">
        <f t="shared" si="29"/>
        <v>268</v>
      </c>
      <c r="J322" s="14" t="s">
        <v>404</v>
      </c>
      <c r="K322" s="19">
        <f>268000/1000</f>
        <v>268</v>
      </c>
      <c r="L322" s="2"/>
    </row>
    <row r="323" spans="2:12" ht="55.5" customHeight="1" x14ac:dyDescent="0.25">
      <c r="B323" s="163"/>
      <c r="C323" s="179" t="s">
        <v>405</v>
      </c>
      <c r="D323" s="180"/>
      <c r="E323" s="53" t="s">
        <v>26</v>
      </c>
      <c r="F323" s="14" t="s">
        <v>26</v>
      </c>
      <c r="G323" s="14" t="s">
        <v>26</v>
      </c>
      <c r="H323" s="14" t="s">
        <v>26</v>
      </c>
      <c r="I323" s="14">
        <f t="shared" si="29"/>
        <v>1390.002</v>
      </c>
      <c r="J323" s="14" t="s">
        <v>26</v>
      </c>
      <c r="K323" s="19">
        <v>1390.002</v>
      </c>
      <c r="L323" s="2"/>
    </row>
    <row r="324" spans="2:12" ht="53.25" customHeight="1" x14ac:dyDescent="0.25">
      <c r="B324" s="163"/>
      <c r="C324" s="179" t="s">
        <v>406</v>
      </c>
      <c r="D324" s="180"/>
      <c r="E324" s="53" t="s">
        <v>26</v>
      </c>
      <c r="F324" s="14" t="s">
        <v>26</v>
      </c>
      <c r="G324" s="14" t="s">
        <v>26</v>
      </c>
      <c r="H324" s="14" t="s">
        <v>26</v>
      </c>
      <c r="I324" s="14">
        <f t="shared" si="29"/>
        <v>278.00040000000001</v>
      </c>
      <c r="J324" s="14" t="s">
        <v>26</v>
      </c>
      <c r="K324" s="19">
        <v>278.00040000000001</v>
      </c>
      <c r="L324" s="2"/>
    </row>
    <row r="325" spans="2:12" ht="66.75" customHeight="1" x14ac:dyDescent="0.25">
      <c r="B325" s="163"/>
      <c r="C325" s="179" t="s">
        <v>407</v>
      </c>
      <c r="D325" s="180"/>
      <c r="E325" s="53" t="s">
        <v>26</v>
      </c>
      <c r="F325" s="14" t="s">
        <v>26</v>
      </c>
      <c r="G325" s="14" t="s">
        <v>26</v>
      </c>
      <c r="H325" s="14" t="s">
        <v>26</v>
      </c>
      <c r="I325" s="14">
        <f t="shared" si="29"/>
        <v>4.7714499999999997</v>
      </c>
      <c r="J325" s="14" t="s">
        <v>26</v>
      </c>
      <c r="K325" s="19">
        <v>4.7714499999999997</v>
      </c>
      <c r="L325" s="2"/>
    </row>
    <row r="326" spans="2:12" ht="56.25" customHeight="1" x14ac:dyDescent="0.25">
      <c r="B326" s="163"/>
      <c r="C326" s="179" t="s">
        <v>408</v>
      </c>
      <c r="D326" s="180"/>
      <c r="E326" s="53" t="s">
        <v>26</v>
      </c>
      <c r="F326" s="14" t="s">
        <v>26</v>
      </c>
      <c r="G326" s="14" t="s">
        <v>26</v>
      </c>
      <c r="H326" s="14" t="s">
        <v>26</v>
      </c>
      <c r="I326" s="14">
        <f t="shared" si="29"/>
        <v>7.48095</v>
      </c>
      <c r="J326" s="14" t="s">
        <v>26</v>
      </c>
      <c r="K326" s="19">
        <v>7.48095</v>
      </c>
      <c r="L326" s="2"/>
    </row>
    <row r="327" spans="2:12" ht="56.25" customHeight="1" x14ac:dyDescent="0.25">
      <c r="B327" s="163"/>
      <c r="C327" s="179" t="s">
        <v>409</v>
      </c>
      <c r="D327" s="180"/>
      <c r="E327" s="53" t="s">
        <v>26</v>
      </c>
      <c r="F327" s="14">
        <f t="shared" ref="F327:F329" si="30">H327</f>
        <v>12.2524</v>
      </c>
      <c r="G327" s="14" t="s">
        <v>26</v>
      </c>
      <c r="H327" s="14">
        <v>12.2524</v>
      </c>
      <c r="I327" s="14" t="s">
        <v>26</v>
      </c>
      <c r="J327" s="14" t="s">
        <v>26</v>
      </c>
      <c r="K327" s="19" t="s">
        <v>26</v>
      </c>
      <c r="L327" s="2"/>
    </row>
    <row r="328" spans="2:12" ht="38.25" customHeight="1" x14ac:dyDescent="0.25">
      <c r="B328" s="163"/>
      <c r="C328" s="179" t="s">
        <v>352</v>
      </c>
      <c r="D328" s="180"/>
      <c r="E328" s="11" t="s">
        <v>26</v>
      </c>
      <c r="F328" s="12">
        <f t="shared" si="30"/>
        <v>24.809194395171801</v>
      </c>
      <c r="G328" s="11" t="s">
        <v>26</v>
      </c>
      <c r="H328" s="12">
        <v>24.809194395171801</v>
      </c>
      <c r="I328" s="12">
        <f t="shared" ref="I328:I330" si="31">K328</f>
        <v>24.809194395171801</v>
      </c>
      <c r="J328" s="11" t="s">
        <v>26</v>
      </c>
      <c r="K328" s="24">
        <v>24.809194395171801</v>
      </c>
      <c r="L328" s="2"/>
    </row>
    <row r="329" spans="2:12" ht="46.5" customHeight="1" x14ac:dyDescent="0.25">
      <c r="B329" s="163"/>
      <c r="C329" s="11" t="s">
        <v>410</v>
      </c>
      <c r="D329" s="22" t="s">
        <v>411</v>
      </c>
      <c r="E329" s="20">
        <f>236500/1000</f>
        <v>236.5</v>
      </c>
      <c r="F329" s="12">
        <f t="shared" si="30"/>
        <v>236.5</v>
      </c>
      <c r="G329" s="11" t="s">
        <v>412</v>
      </c>
      <c r="H329" s="12">
        <f>236500/1000</f>
        <v>236.5</v>
      </c>
      <c r="I329" s="12">
        <f t="shared" si="31"/>
        <v>236.5</v>
      </c>
      <c r="J329" s="20" t="s">
        <v>413</v>
      </c>
      <c r="K329" s="92">
        <f>236500/1000</f>
        <v>236.5</v>
      </c>
      <c r="L329" s="2"/>
    </row>
    <row r="330" spans="2:12" ht="48.75" customHeight="1" thickBot="1" x14ac:dyDescent="0.3">
      <c r="B330" s="163"/>
      <c r="C330" s="11" t="s">
        <v>81</v>
      </c>
      <c r="D330" s="22" t="s">
        <v>414</v>
      </c>
      <c r="E330" s="20">
        <f>523458.46/1000</f>
        <v>523.45846000000006</v>
      </c>
      <c r="F330" s="12">
        <f>H330</f>
        <v>523.45844</v>
      </c>
      <c r="G330" s="11" t="s">
        <v>415</v>
      </c>
      <c r="H330" s="12">
        <f>523458.44/1000</f>
        <v>523.45844</v>
      </c>
      <c r="I330" s="12">
        <f t="shared" si="31"/>
        <v>523.45844</v>
      </c>
      <c r="J330" s="20" t="s">
        <v>416</v>
      </c>
      <c r="K330" s="24">
        <f>523458.44/1000</f>
        <v>523.45844</v>
      </c>
      <c r="L330" s="2"/>
    </row>
    <row r="331" spans="2:12" ht="45" customHeight="1" x14ac:dyDescent="0.25">
      <c r="B331" s="150" t="s">
        <v>417</v>
      </c>
      <c r="C331" s="9" t="s">
        <v>418</v>
      </c>
      <c r="D331" s="9" t="s">
        <v>419</v>
      </c>
      <c r="E331" s="10">
        <v>23253.236059999999</v>
      </c>
      <c r="F331" s="35">
        <f>H331</f>
        <v>7289.9774299999999</v>
      </c>
      <c r="G331" s="35" t="s">
        <v>420</v>
      </c>
      <c r="H331" s="35">
        <v>7289.9774299999999</v>
      </c>
      <c r="I331" s="35" t="s">
        <v>26</v>
      </c>
      <c r="J331" s="35" t="s">
        <v>26</v>
      </c>
      <c r="K331" s="36" t="s">
        <v>26</v>
      </c>
      <c r="L331" s="2"/>
    </row>
    <row r="332" spans="2:12" ht="45" x14ac:dyDescent="0.25">
      <c r="B332" s="163"/>
      <c r="C332" s="23" t="s">
        <v>27</v>
      </c>
      <c r="D332" s="23" t="s">
        <v>28</v>
      </c>
      <c r="E332" s="26" t="s">
        <v>142</v>
      </c>
      <c r="F332" s="14">
        <f>H332</f>
        <v>450.60700119999996</v>
      </c>
      <c r="G332" s="12" t="s">
        <v>143</v>
      </c>
      <c r="H332" s="12">
        <v>450.60700119999996</v>
      </c>
      <c r="I332" s="14" t="s">
        <v>26</v>
      </c>
      <c r="J332" s="14" t="s">
        <v>26</v>
      </c>
      <c r="K332" s="19" t="s">
        <v>26</v>
      </c>
      <c r="L332" s="2"/>
    </row>
    <row r="333" spans="2:12" ht="46.5" customHeight="1" x14ac:dyDescent="0.25">
      <c r="B333" s="163"/>
      <c r="C333" s="164" t="s">
        <v>421</v>
      </c>
      <c r="D333" s="195" t="s">
        <v>422</v>
      </c>
      <c r="E333" s="168">
        <v>129747.353</v>
      </c>
      <c r="F333" s="168">
        <f>H333+H334+H335</f>
        <v>117983.48262</v>
      </c>
      <c r="G333" s="12" t="s">
        <v>423</v>
      </c>
      <c r="H333" s="12">
        <v>3379.3854799999999</v>
      </c>
      <c r="I333" s="168">
        <f>K333+K334+K335+K336+K337+K338+K339+K340+K341+K342+K343+K344+K345+K346+K347+K348+K349+K350+K351+K352+K353+K354+K355+K356+K357+K358+K359</f>
        <v>113900.5634396</v>
      </c>
      <c r="J333" s="14" t="s">
        <v>424</v>
      </c>
      <c r="K333" s="19">
        <v>50251.779719999999</v>
      </c>
      <c r="L333" s="2"/>
    </row>
    <row r="334" spans="2:12" ht="46.5" customHeight="1" x14ac:dyDescent="0.25">
      <c r="B334" s="163"/>
      <c r="C334" s="161"/>
      <c r="D334" s="196"/>
      <c r="E334" s="169"/>
      <c r="F334" s="169"/>
      <c r="G334" s="12" t="s">
        <v>425</v>
      </c>
      <c r="H334" s="12">
        <v>19604.097140000002</v>
      </c>
      <c r="I334" s="169"/>
      <c r="J334" s="14" t="s">
        <v>426</v>
      </c>
      <c r="K334" s="19">
        <v>630.55542000000003</v>
      </c>
      <c r="L334" s="2"/>
    </row>
    <row r="335" spans="2:12" ht="46.5" customHeight="1" x14ac:dyDescent="0.25">
      <c r="B335" s="163"/>
      <c r="C335" s="161"/>
      <c r="D335" s="196"/>
      <c r="E335" s="169"/>
      <c r="F335" s="169"/>
      <c r="G335" s="12" t="s">
        <v>427</v>
      </c>
      <c r="H335" s="12">
        <v>95000</v>
      </c>
      <c r="I335" s="169"/>
      <c r="J335" s="14" t="s">
        <v>428</v>
      </c>
      <c r="K335" s="19">
        <v>2008.6904</v>
      </c>
      <c r="L335" s="2"/>
    </row>
    <row r="336" spans="2:12" ht="46.5" customHeight="1" x14ac:dyDescent="0.25">
      <c r="B336" s="163"/>
      <c r="C336" s="161"/>
      <c r="D336" s="196"/>
      <c r="E336" s="169"/>
      <c r="F336" s="169"/>
      <c r="G336" s="168" t="s">
        <v>429</v>
      </c>
      <c r="H336" s="168" t="s">
        <v>429</v>
      </c>
      <c r="I336" s="169"/>
      <c r="J336" s="14" t="s">
        <v>430</v>
      </c>
      <c r="K336" s="19">
        <v>2100.4708000000001</v>
      </c>
      <c r="L336" s="2"/>
    </row>
    <row r="337" spans="2:12" ht="46.5" customHeight="1" x14ac:dyDescent="0.25">
      <c r="B337" s="163"/>
      <c r="C337" s="161"/>
      <c r="D337" s="196"/>
      <c r="E337" s="169"/>
      <c r="F337" s="169"/>
      <c r="G337" s="169"/>
      <c r="H337" s="169"/>
      <c r="I337" s="169"/>
      <c r="J337" s="14" t="s">
        <v>431</v>
      </c>
      <c r="K337" s="19">
        <v>622.52434000000005</v>
      </c>
      <c r="L337" s="2"/>
    </row>
    <row r="338" spans="2:12" ht="46.5" customHeight="1" x14ac:dyDescent="0.25">
      <c r="B338" s="163"/>
      <c r="C338" s="161"/>
      <c r="D338" s="196"/>
      <c r="E338" s="169"/>
      <c r="F338" s="169"/>
      <c r="G338" s="169"/>
      <c r="H338" s="169"/>
      <c r="I338" s="169"/>
      <c r="J338" s="14" t="s">
        <v>432</v>
      </c>
      <c r="K338" s="19">
        <v>17665.932219999999</v>
      </c>
      <c r="L338" s="2"/>
    </row>
    <row r="339" spans="2:12" ht="46.5" customHeight="1" x14ac:dyDescent="0.25">
      <c r="B339" s="163"/>
      <c r="C339" s="161"/>
      <c r="D339" s="196"/>
      <c r="E339" s="169"/>
      <c r="F339" s="169"/>
      <c r="G339" s="169"/>
      <c r="H339" s="169"/>
      <c r="I339" s="169"/>
      <c r="J339" s="14" t="s">
        <v>433</v>
      </c>
      <c r="K339" s="19">
        <v>1532.0966599999999</v>
      </c>
      <c r="L339" s="2"/>
    </row>
    <row r="340" spans="2:12" ht="46.5" customHeight="1" x14ac:dyDescent="0.25">
      <c r="B340" s="163"/>
      <c r="C340" s="161"/>
      <c r="D340" s="196"/>
      <c r="E340" s="169"/>
      <c r="F340" s="169"/>
      <c r="G340" s="169"/>
      <c r="H340" s="169"/>
      <c r="I340" s="169"/>
      <c r="J340" s="14" t="s">
        <v>434</v>
      </c>
      <c r="K340" s="19">
        <v>1590.1255200000001</v>
      </c>
      <c r="L340" s="2"/>
    </row>
    <row r="341" spans="2:12" ht="46.5" customHeight="1" x14ac:dyDescent="0.25">
      <c r="B341" s="163"/>
      <c r="C341" s="161"/>
      <c r="D341" s="196"/>
      <c r="E341" s="169"/>
      <c r="F341" s="169"/>
      <c r="G341" s="169"/>
      <c r="H341" s="169"/>
      <c r="I341" s="169"/>
      <c r="J341" s="14" t="s">
        <v>435</v>
      </c>
      <c r="K341" s="19">
        <v>2494.6238400000002</v>
      </c>
      <c r="L341" s="2"/>
    </row>
    <row r="342" spans="2:12" ht="46.5" customHeight="1" x14ac:dyDescent="0.25">
      <c r="B342" s="163"/>
      <c r="C342" s="161"/>
      <c r="D342" s="196"/>
      <c r="E342" s="169"/>
      <c r="F342" s="169"/>
      <c r="G342" s="169"/>
      <c r="H342" s="169"/>
      <c r="I342" s="169"/>
      <c r="J342" s="14" t="s">
        <v>436</v>
      </c>
      <c r="K342" s="19">
        <v>1792.0140799999999</v>
      </c>
      <c r="L342" s="2"/>
    </row>
    <row r="343" spans="2:12" ht="46.5" customHeight="1" x14ac:dyDescent="0.25">
      <c r="B343" s="163"/>
      <c r="C343" s="161"/>
      <c r="D343" s="196"/>
      <c r="E343" s="169"/>
      <c r="F343" s="169"/>
      <c r="G343" s="169"/>
      <c r="H343" s="169"/>
      <c r="I343" s="169"/>
      <c r="J343" s="14" t="s">
        <v>437</v>
      </c>
      <c r="K343" s="19">
        <v>1511.2708399999999</v>
      </c>
      <c r="L343" s="2"/>
    </row>
    <row r="344" spans="2:12" ht="46.5" customHeight="1" x14ac:dyDescent="0.25">
      <c r="B344" s="163"/>
      <c r="C344" s="161"/>
      <c r="D344" s="196"/>
      <c r="E344" s="169"/>
      <c r="F344" s="169"/>
      <c r="G344" s="169"/>
      <c r="H344" s="169"/>
      <c r="I344" s="169"/>
      <c r="J344" s="14" t="s">
        <v>438</v>
      </c>
      <c r="K344" s="19">
        <v>1328.44046</v>
      </c>
      <c r="L344" s="2"/>
    </row>
    <row r="345" spans="2:12" ht="46.5" customHeight="1" x14ac:dyDescent="0.25">
      <c r="B345" s="163"/>
      <c r="C345" s="161"/>
      <c r="D345" s="196"/>
      <c r="E345" s="169"/>
      <c r="F345" s="169"/>
      <c r="G345" s="169"/>
      <c r="H345" s="169"/>
      <c r="I345" s="169"/>
      <c r="J345" s="14" t="s">
        <v>439</v>
      </c>
      <c r="K345" s="19">
        <v>773.90181999999993</v>
      </c>
      <c r="L345" s="2"/>
    </row>
    <row r="346" spans="2:12" ht="46.5" customHeight="1" x14ac:dyDescent="0.25">
      <c r="B346" s="163"/>
      <c r="C346" s="161"/>
      <c r="D346" s="196"/>
      <c r="E346" s="169"/>
      <c r="F346" s="169"/>
      <c r="G346" s="169"/>
      <c r="H346" s="169"/>
      <c r="I346" s="169"/>
      <c r="J346" s="14" t="s">
        <v>440</v>
      </c>
      <c r="K346" s="19">
        <v>7643.6694799999996</v>
      </c>
      <c r="L346" s="2"/>
    </row>
    <row r="347" spans="2:12" ht="46.5" customHeight="1" x14ac:dyDescent="0.25">
      <c r="B347" s="163"/>
      <c r="C347" s="161"/>
      <c r="D347" s="196"/>
      <c r="E347" s="169"/>
      <c r="F347" s="169"/>
      <c r="G347" s="169"/>
      <c r="H347" s="169"/>
      <c r="I347" s="169"/>
      <c r="J347" s="14" t="s">
        <v>441</v>
      </c>
      <c r="K347" s="19">
        <v>1661.50136</v>
      </c>
      <c r="L347" s="2"/>
    </row>
    <row r="348" spans="2:12" ht="46.5" customHeight="1" x14ac:dyDescent="0.25">
      <c r="B348" s="163"/>
      <c r="C348" s="161"/>
      <c r="D348" s="196"/>
      <c r="E348" s="169"/>
      <c r="F348" s="169"/>
      <c r="G348" s="169"/>
      <c r="H348" s="169"/>
      <c r="I348" s="169"/>
      <c r="J348" s="14" t="s">
        <v>442</v>
      </c>
      <c r="K348" s="19">
        <v>7990.0136399999992</v>
      </c>
      <c r="L348" s="2"/>
    </row>
    <row r="349" spans="2:12" ht="46.5" customHeight="1" x14ac:dyDescent="0.25">
      <c r="B349" s="163"/>
      <c r="C349" s="161"/>
      <c r="D349" s="196"/>
      <c r="E349" s="169"/>
      <c r="F349" s="169"/>
      <c r="G349" s="169"/>
      <c r="H349" s="169"/>
      <c r="I349" s="169"/>
      <c r="J349" s="14" t="s">
        <v>443</v>
      </c>
      <c r="K349" s="19">
        <v>336.05338</v>
      </c>
      <c r="L349" s="2"/>
    </row>
    <row r="350" spans="2:12" ht="46.5" customHeight="1" x14ac:dyDescent="0.25">
      <c r="B350" s="163"/>
      <c r="C350" s="161"/>
      <c r="D350" s="196"/>
      <c r="E350" s="169"/>
      <c r="F350" s="169"/>
      <c r="G350" s="169"/>
      <c r="H350" s="169"/>
      <c r="I350" s="169"/>
      <c r="J350" s="14" t="s">
        <v>444</v>
      </c>
      <c r="K350" s="19">
        <v>918.23469999999998</v>
      </c>
      <c r="L350" s="2"/>
    </row>
    <row r="351" spans="2:12" ht="46.5" customHeight="1" x14ac:dyDescent="0.25">
      <c r="B351" s="163"/>
      <c r="C351" s="161"/>
      <c r="D351" s="196"/>
      <c r="E351" s="169"/>
      <c r="F351" s="169"/>
      <c r="G351" s="169"/>
      <c r="H351" s="169"/>
      <c r="I351" s="169"/>
      <c r="J351" s="14" t="s">
        <v>445</v>
      </c>
      <c r="K351" s="19">
        <v>731.00174000000004</v>
      </c>
      <c r="L351" s="2"/>
    </row>
    <row r="352" spans="2:12" ht="46.5" customHeight="1" x14ac:dyDescent="0.25">
      <c r="B352" s="163"/>
      <c r="C352" s="161"/>
      <c r="D352" s="196"/>
      <c r="E352" s="169"/>
      <c r="F352" s="169"/>
      <c r="G352" s="169"/>
      <c r="H352" s="169"/>
      <c r="I352" s="169"/>
      <c r="J352" s="14" t="s">
        <v>446</v>
      </c>
      <c r="K352" s="19">
        <v>3228.5201199999997</v>
      </c>
      <c r="L352" s="2"/>
    </row>
    <row r="353" spans="2:12" ht="46.5" customHeight="1" x14ac:dyDescent="0.25">
      <c r="B353" s="163"/>
      <c r="C353" s="161"/>
      <c r="D353" s="196"/>
      <c r="E353" s="169"/>
      <c r="F353" s="169"/>
      <c r="G353" s="169"/>
      <c r="H353" s="169"/>
      <c r="I353" s="169"/>
      <c r="J353" s="14" t="s">
        <v>447</v>
      </c>
      <c r="K353" s="19">
        <v>2301.20532</v>
      </c>
      <c r="L353" s="2"/>
    </row>
    <row r="354" spans="2:12" ht="46.5" customHeight="1" x14ac:dyDescent="0.25">
      <c r="B354" s="163"/>
      <c r="C354" s="161"/>
      <c r="D354" s="196"/>
      <c r="E354" s="169"/>
      <c r="F354" s="169"/>
      <c r="G354" s="169"/>
      <c r="H354" s="169"/>
      <c r="I354" s="169"/>
      <c r="J354" s="14" t="s">
        <v>448</v>
      </c>
      <c r="K354" s="19">
        <v>1114.85574</v>
      </c>
      <c r="L354" s="2"/>
    </row>
    <row r="355" spans="2:12" ht="46.5" customHeight="1" x14ac:dyDescent="0.25">
      <c r="B355" s="163"/>
      <c r="C355" s="161"/>
      <c r="D355" s="196"/>
      <c r="E355" s="169"/>
      <c r="F355" s="169"/>
      <c r="G355" s="169"/>
      <c r="H355" s="169"/>
      <c r="I355" s="169"/>
      <c r="J355" s="14" t="s">
        <v>449</v>
      </c>
      <c r="K355" s="19">
        <v>1420.9412500000001</v>
      </c>
      <c r="L355" s="2"/>
    </row>
    <row r="356" spans="2:12" ht="46.5" customHeight="1" x14ac:dyDescent="0.25">
      <c r="B356" s="163"/>
      <c r="C356" s="161"/>
      <c r="D356" s="196"/>
      <c r="E356" s="169"/>
      <c r="F356" s="169"/>
      <c r="G356" s="169"/>
      <c r="H356" s="169"/>
      <c r="I356" s="169"/>
      <c r="J356" s="14" t="s">
        <v>450</v>
      </c>
      <c r="K356" s="19">
        <v>1633.8433399999999</v>
      </c>
      <c r="L356" s="2"/>
    </row>
    <row r="357" spans="2:12" ht="46.5" customHeight="1" x14ac:dyDescent="0.25">
      <c r="B357" s="163"/>
      <c r="C357" s="161"/>
      <c r="D357" s="196"/>
      <c r="E357" s="169"/>
      <c r="F357" s="169"/>
      <c r="G357" s="169"/>
      <c r="H357" s="169"/>
      <c r="I357" s="169"/>
      <c r="J357" s="14" t="s">
        <v>451</v>
      </c>
      <c r="K357" s="19">
        <v>160.66407999999998</v>
      </c>
      <c r="L357" s="2"/>
    </row>
    <row r="358" spans="2:12" ht="46.5" customHeight="1" x14ac:dyDescent="0.25">
      <c r="B358" s="163"/>
      <c r="C358" s="161"/>
      <c r="D358" s="196"/>
      <c r="E358" s="169"/>
      <c r="F358" s="169"/>
      <c r="G358" s="169"/>
      <c r="H358" s="169"/>
      <c r="I358" s="169"/>
      <c r="J358" s="14" t="s">
        <v>452</v>
      </c>
      <c r="K358" s="19">
        <v>91.060599999999994</v>
      </c>
      <c r="L358" s="2"/>
    </row>
    <row r="359" spans="2:12" ht="46.5" customHeight="1" x14ac:dyDescent="0.25">
      <c r="B359" s="163"/>
      <c r="C359" s="161"/>
      <c r="D359" s="196"/>
      <c r="E359" s="169"/>
      <c r="F359" s="169"/>
      <c r="G359" s="169"/>
      <c r="H359" s="169"/>
      <c r="I359" s="169"/>
      <c r="J359" s="14" t="s">
        <v>453</v>
      </c>
      <c r="K359" s="19">
        <v>366.57256959999995</v>
      </c>
      <c r="L359" s="2"/>
    </row>
    <row r="360" spans="2:12" ht="46.5" customHeight="1" x14ac:dyDescent="0.25">
      <c r="B360" s="163"/>
      <c r="C360" s="183" t="s">
        <v>421</v>
      </c>
      <c r="D360" s="195" t="s">
        <v>454</v>
      </c>
      <c r="E360" s="168">
        <f>33884745.19/1000</f>
        <v>33884.745189999994</v>
      </c>
      <c r="F360" s="168" t="str">
        <f>H360</f>
        <v>__</v>
      </c>
      <c r="G360" s="168" t="s">
        <v>26</v>
      </c>
      <c r="H360" s="168" t="s">
        <v>26</v>
      </c>
      <c r="I360" s="168">
        <f>K360+K361+K362+K363+K364+K365+K366+K367</f>
        <v>10007.412979999999</v>
      </c>
      <c r="J360" s="14" t="s">
        <v>24</v>
      </c>
      <c r="K360" s="19">
        <f>1473647.47/1000</f>
        <v>1473.6474699999999</v>
      </c>
      <c r="L360" s="2"/>
    </row>
    <row r="361" spans="2:12" ht="46.5" customHeight="1" x14ac:dyDescent="0.25">
      <c r="B361" s="163"/>
      <c r="C361" s="183"/>
      <c r="D361" s="196"/>
      <c r="E361" s="169"/>
      <c r="F361" s="169"/>
      <c r="G361" s="169"/>
      <c r="H361" s="169"/>
      <c r="I361" s="169"/>
      <c r="J361" s="14" t="s">
        <v>49</v>
      </c>
      <c r="K361" s="19">
        <f>1304011.91/1000</f>
        <v>1304.0119099999999</v>
      </c>
      <c r="L361" s="2"/>
    </row>
    <row r="362" spans="2:12" ht="46.5" customHeight="1" x14ac:dyDescent="0.25">
      <c r="B362" s="163"/>
      <c r="C362" s="183"/>
      <c r="D362" s="196"/>
      <c r="E362" s="169"/>
      <c r="F362" s="169"/>
      <c r="G362" s="169"/>
      <c r="H362" s="169"/>
      <c r="I362" s="169"/>
      <c r="J362" s="14" t="s">
        <v>455</v>
      </c>
      <c r="K362" s="19">
        <f>191171.95/1000</f>
        <v>191.17195000000001</v>
      </c>
      <c r="L362" s="2"/>
    </row>
    <row r="363" spans="2:12" ht="46.5" customHeight="1" x14ac:dyDescent="0.25">
      <c r="B363" s="163"/>
      <c r="C363" s="183"/>
      <c r="D363" s="196"/>
      <c r="E363" s="169"/>
      <c r="F363" s="169"/>
      <c r="G363" s="169"/>
      <c r="H363" s="169"/>
      <c r="I363" s="169"/>
      <c r="J363" s="14" t="s">
        <v>456</v>
      </c>
      <c r="K363" s="19">
        <f>1507370.3/1000</f>
        <v>1507.3703</v>
      </c>
      <c r="L363" s="2"/>
    </row>
    <row r="364" spans="2:12" ht="46.5" customHeight="1" x14ac:dyDescent="0.25">
      <c r="B364" s="163"/>
      <c r="C364" s="183"/>
      <c r="D364" s="196"/>
      <c r="E364" s="169"/>
      <c r="F364" s="169"/>
      <c r="G364" s="169"/>
      <c r="H364" s="169"/>
      <c r="I364" s="169"/>
      <c r="J364" s="14" t="s">
        <v>457</v>
      </c>
      <c r="K364" s="19">
        <f>1590692.06/1000</f>
        <v>1590.6920600000001</v>
      </c>
      <c r="L364" s="2"/>
    </row>
    <row r="365" spans="2:12" ht="46.5" customHeight="1" x14ac:dyDescent="0.25">
      <c r="B365" s="163"/>
      <c r="C365" s="183"/>
      <c r="D365" s="196"/>
      <c r="E365" s="169"/>
      <c r="F365" s="169"/>
      <c r="G365" s="169"/>
      <c r="H365" s="169"/>
      <c r="I365" s="169"/>
      <c r="J365" s="14" t="s">
        <v>458</v>
      </c>
      <c r="K365" s="19">
        <f>1925125.44/1000</f>
        <v>1925.12544</v>
      </c>
      <c r="L365" s="2"/>
    </row>
    <row r="366" spans="2:12" ht="46.5" customHeight="1" x14ac:dyDescent="0.25">
      <c r="B366" s="163"/>
      <c r="C366" s="183"/>
      <c r="D366" s="196"/>
      <c r="E366" s="169"/>
      <c r="F366" s="169"/>
      <c r="G366" s="169"/>
      <c r="H366" s="169"/>
      <c r="I366" s="169"/>
      <c r="J366" s="14" t="s">
        <v>459</v>
      </c>
      <c r="K366" s="19">
        <f>1062914.85/1000</f>
        <v>1062.9148500000001</v>
      </c>
      <c r="L366" s="2"/>
    </row>
    <row r="367" spans="2:12" ht="46.5" customHeight="1" x14ac:dyDescent="0.25">
      <c r="B367" s="163"/>
      <c r="C367" s="183"/>
      <c r="D367" s="196"/>
      <c r="E367" s="169"/>
      <c r="F367" s="169"/>
      <c r="G367" s="156"/>
      <c r="H367" s="156"/>
      <c r="I367" s="169"/>
      <c r="J367" s="14" t="s">
        <v>460</v>
      </c>
      <c r="K367" s="19">
        <f>952479/1000</f>
        <v>952.47900000000004</v>
      </c>
      <c r="L367" s="2"/>
    </row>
    <row r="368" spans="2:12" ht="63.75" customHeight="1" x14ac:dyDescent="0.25">
      <c r="B368" s="163"/>
      <c r="C368" s="179" t="s">
        <v>461</v>
      </c>
      <c r="D368" s="180"/>
      <c r="E368" s="12" t="s">
        <v>26</v>
      </c>
      <c r="F368" s="12" t="s">
        <v>26</v>
      </c>
      <c r="G368" s="12" t="s">
        <v>26</v>
      </c>
      <c r="H368" s="12" t="s">
        <v>26</v>
      </c>
      <c r="I368" s="12">
        <f>K368</f>
        <v>19677.587100000001</v>
      </c>
      <c r="J368" s="14" t="s">
        <v>26</v>
      </c>
      <c r="K368" s="19">
        <v>19677.587100000001</v>
      </c>
      <c r="L368" s="2"/>
    </row>
    <row r="369" spans="2:12" ht="63.75" customHeight="1" x14ac:dyDescent="0.25">
      <c r="B369" s="163"/>
      <c r="C369" s="179" t="s">
        <v>462</v>
      </c>
      <c r="D369" s="180"/>
      <c r="E369" s="14" t="s">
        <v>26</v>
      </c>
      <c r="F369" s="14" t="s">
        <v>26</v>
      </c>
      <c r="G369" s="14" t="s">
        <v>26</v>
      </c>
      <c r="H369" s="14" t="s">
        <v>26</v>
      </c>
      <c r="I369" s="12">
        <f>K369</f>
        <v>6513.4399800000001</v>
      </c>
      <c r="J369" s="14" t="s">
        <v>26</v>
      </c>
      <c r="K369" s="19">
        <v>6513.4399800000001</v>
      </c>
      <c r="L369" s="2"/>
    </row>
    <row r="370" spans="2:12" ht="63.75" customHeight="1" x14ac:dyDescent="0.25">
      <c r="B370" s="163"/>
      <c r="C370" s="179" t="s">
        <v>463</v>
      </c>
      <c r="D370" s="180"/>
      <c r="E370" s="14" t="s">
        <v>26</v>
      </c>
      <c r="F370" s="14" t="s">
        <v>26</v>
      </c>
      <c r="G370" s="14" t="s">
        <v>26</v>
      </c>
      <c r="H370" s="14" t="s">
        <v>26</v>
      </c>
      <c r="I370" s="12">
        <f>K370</f>
        <v>2736.1342511999997</v>
      </c>
      <c r="J370" s="14" t="s">
        <v>26</v>
      </c>
      <c r="K370" s="19">
        <f>2318757.84*1.18/1000</f>
        <v>2736.1342511999997</v>
      </c>
      <c r="L370" s="2"/>
    </row>
    <row r="371" spans="2:12" ht="36.75" customHeight="1" x14ac:dyDescent="0.25">
      <c r="B371" s="163"/>
      <c r="C371" s="13" t="s">
        <v>43</v>
      </c>
      <c r="D371" s="13" t="s">
        <v>44</v>
      </c>
      <c r="E371" s="14" t="s">
        <v>26</v>
      </c>
      <c r="F371" s="14" t="s">
        <v>26</v>
      </c>
      <c r="G371" s="14" t="s">
        <v>26</v>
      </c>
      <c r="H371" s="14" t="s">
        <v>26</v>
      </c>
      <c r="I371" s="12">
        <f>K371</f>
        <v>168.07436999999999</v>
      </c>
      <c r="J371" s="12" t="s">
        <v>26</v>
      </c>
      <c r="K371" s="17">
        <v>168.07436999999999</v>
      </c>
      <c r="L371" s="2"/>
    </row>
    <row r="372" spans="2:12" ht="43.5" customHeight="1" x14ac:dyDescent="0.25">
      <c r="B372" s="163"/>
      <c r="C372" s="63" t="s">
        <v>464</v>
      </c>
      <c r="D372" s="13" t="s">
        <v>44</v>
      </c>
      <c r="E372" s="14" t="s">
        <v>26</v>
      </c>
      <c r="F372" s="14">
        <f>H372</f>
        <v>5506.6967000000004</v>
      </c>
      <c r="G372" s="12" t="s">
        <v>465</v>
      </c>
      <c r="H372" s="12">
        <f>5506696.7/1000</f>
        <v>5506.6967000000004</v>
      </c>
      <c r="I372" s="12">
        <f>K372</f>
        <v>5506.6967000000004</v>
      </c>
      <c r="J372" s="12" t="s">
        <v>466</v>
      </c>
      <c r="K372" s="19">
        <f>5506696.7/1000</f>
        <v>5506.6967000000004</v>
      </c>
      <c r="L372" s="2"/>
    </row>
    <row r="373" spans="2:12" ht="55.5" customHeight="1" x14ac:dyDescent="0.25">
      <c r="B373" s="163"/>
      <c r="C373" s="164" t="s">
        <v>27</v>
      </c>
      <c r="D373" s="164" t="s">
        <v>28</v>
      </c>
      <c r="E373" s="168" t="s">
        <v>29</v>
      </c>
      <c r="F373" s="168">
        <f>H373+H374+H375+H376+H377+H378+H379+H380</f>
        <v>8861.093069999999</v>
      </c>
      <c r="G373" s="13" t="s">
        <v>30</v>
      </c>
      <c r="H373" s="14">
        <v>1047.92318</v>
      </c>
      <c r="I373" s="168">
        <f>K373+K374+K375+K376+K377+K378+K379+K380+K381</f>
        <v>9361.093069999999</v>
      </c>
      <c r="J373" s="14" t="s">
        <v>331</v>
      </c>
      <c r="K373" s="19">
        <v>1047.92318</v>
      </c>
      <c r="L373" s="2"/>
    </row>
    <row r="374" spans="2:12" ht="50.25" customHeight="1" x14ac:dyDescent="0.25">
      <c r="B374" s="163"/>
      <c r="C374" s="161"/>
      <c r="D374" s="161"/>
      <c r="E374" s="169"/>
      <c r="F374" s="169"/>
      <c r="G374" s="13" t="s">
        <v>332</v>
      </c>
      <c r="H374" s="14">
        <v>1274.7434499999999</v>
      </c>
      <c r="I374" s="169"/>
      <c r="J374" s="14" t="s">
        <v>333</v>
      </c>
      <c r="K374" s="19">
        <v>1274.7434499999999</v>
      </c>
      <c r="L374" s="2"/>
    </row>
    <row r="375" spans="2:12" ht="52.5" customHeight="1" x14ac:dyDescent="0.25">
      <c r="B375" s="163"/>
      <c r="C375" s="161"/>
      <c r="D375" s="161"/>
      <c r="E375" s="169"/>
      <c r="F375" s="169"/>
      <c r="G375" s="13" t="s">
        <v>334</v>
      </c>
      <c r="H375" s="14">
        <v>1298.8105399999999</v>
      </c>
      <c r="I375" s="169"/>
      <c r="J375" s="14" t="s">
        <v>31</v>
      </c>
      <c r="K375" s="19">
        <v>1298.8105399999999</v>
      </c>
      <c r="L375" s="2"/>
    </row>
    <row r="376" spans="2:12" ht="50.25" customHeight="1" x14ac:dyDescent="0.25">
      <c r="B376" s="163"/>
      <c r="C376" s="161"/>
      <c r="D376" s="161"/>
      <c r="E376" s="169"/>
      <c r="F376" s="169"/>
      <c r="G376" s="13" t="s">
        <v>32</v>
      </c>
      <c r="H376" s="14">
        <v>1047.92318</v>
      </c>
      <c r="I376" s="169"/>
      <c r="J376" s="14" t="s">
        <v>33</v>
      </c>
      <c r="K376" s="19">
        <v>1047.92318</v>
      </c>
      <c r="L376" s="2"/>
    </row>
    <row r="377" spans="2:12" ht="50.25" customHeight="1" x14ac:dyDescent="0.25">
      <c r="B377" s="163"/>
      <c r="C377" s="161"/>
      <c r="D377" s="161"/>
      <c r="E377" s="169"/>
      <c r="F377" s="169"/>
      <c r="G377" s="13" t="s">
        <v>467</v>
      </c>
      <c r="H377" s="14">
        <v>1047.92318</v>
      </c>
      <c r="I377" s="169"/>
      <c r="J377" s="14" t="s">
        <v>35</v>
      </c>
      <c r="K377" s="19">
        <v>1047.92318</v>
      </c>
      <c r="L377" s="2"/>
    </row>
    <row r="378" spans="2:12" ht="50.25" customHeight="1" x14ac:dyDescent="0.25">
      <c r="B378" s="163"/>
      <c r="C378" s="161"/>
      <c r="D378" s="161"/>
      <c r="E378" s="169"/>
      <c r="F378" s="169"/>
      <c r="G378" s="13" t="s">
        <v>468</v>
      </c>
      <c r="H378" s="14">
        <v>1047.92318</v>
      </c>
      <c r="I378" s="169"/>
      <c r="J378" s="14" t="s">
        <v>37</v>
      </c>
      <c r="K378" s="19">
        <v>1047.92318</v>
      </c>
      <c r="L378" s="2"/>
    </row>
    <row r="379" spans="2:12" ht="50.25" customHeight="1" x14ac:dyDescent="0.25">
      <c r="B379" s="163"/>
      <c r="C379" s="161"/>
      <c r="D379" s="161"/>
      <c r="E379" s="169"/>
      <c r="F379" s="169"/>
      <c r="G379" s="13" t="s">
        <v>469</v>
      </c>
      <c r="H379" s="14">
        <f>1047923.18/1000</f>
        <v>1047.92318</v>
      </c>
      <c r="I379" s="169"/>
      <c r="J379" s="14" t="s">
        <v>39</v>
      </c>
      <c r="K379" s="19">
        <v>1047.92318</v>
      </c>
      <c r="L379" s="2"/>
    </row>
    <row r="380" spans="2:12" ht="50.25" customHeight="1" x14ac:dyDescent="0.25">
      <c r="B380" s="163"/>
      <c r="C380" s="161"/>
      <c r="D380" s="161"/>
      <c r="E380" s="169"/>
      <c r="F380" s="169"/>
      <c r="G380" s="13" t="s">
        <v>470</v>
      </c>
      <c r="H380" s="14">
        <f>1047923.18/1000</f>
        <v>1047.92318</v>
      </c>
      <c r="I380" s="169"/>
      <c r="J380" s="14" t="s">
        <v>41</v>
      </c>
      <c r="K380" s="19">
        <f>1047923.18/1000</f>
        <v>1047.92318</v>
      </c>
      <c r="L380" s="2"/>
    </row>
    <row r="381" spans="2:12" ht="50.25" customHeight="1" x14ac:dyDescent="0.25">
      <c r="B381" s="163"/>
      <c r="C381" s="165"/>
      <c r="D381" s="165"/>
      <c r="E381" s="156"/>
      <c r="F381" s="156"/>
      <c r="G381" s="14" t="s">
        <v>26</v>
      </c>
      <c r="H381" s="14" t="s">
        <v>26</v>
      </c>
      <c r="I381" s="156"/>
      <c r="J381" s="14" t="s">
        <v>42</v>
      </c>
      <c r="K381" s="19">
        <f>500000/1000</f>
        <v>500</v>
      </c>
      <c r="L381" s="2"/>
    </row>
    <row r="382" spans="2:12" ht="46.5" customHeight="1" x14ac:dyDescent="0.25">
      <c r="B382" s="163"/>
      <c r="C382" s="13" t="s">
        <v>471</v>
      </c>
      <c r="D382" s="13" t="s">
        <v>472</v>
      </c>
      <c r="E382" s="53">
        <v>51.372</v>
      </c>
      <c r="F382" s="12">
        <f t="shared" ref="F382:F452" si="32">H382</f>
        <v>51.372</v>
      </c>
      <c r="G382" s="12" t="s">
        <v>26</v>
      </c>
      <c r="H382" s="12">
        <v>51.372</v>
      </c>
      <c r="I382" s="14" t="s">
        <v>26</v>
      </c>
      <c r="J382" s="14" t="s">
        <v>26</v>
      </c>
      <c r="K382" s="19" t="s">
        <v>26</v>
      </c>
      <c r="L382" s="2"/>
    </row>
    <row r="383" spans="2:12" ht="46.5" customHeight="1" x14ac:dyDescent="0.25">
      <c r="B383" s="163"/>
      <c r="C383" s="93" t="s">
        <v>473</v>
      </c>
      <c r="D383" s="12" t="s">
        <v>26</v>
      </c>
      <c r="E383" s="12" t="s">
        <v>26</v>
      </c>
      <c r="F383" s="12" t="s">
        <v>26</v>
      </c>
      <c r="G383" s="12" t="s">
        <v>26</v>
      </c>
      <c r="H383" s="12" t="s">
        <v>26</v>
      </c>
      <c r="I383" s="89">
        <f>K383</f>
        <v>78.369119999999995</v>
      </c>
      <c r="J383" s="89" t="s">
        <v>474</v>
      </c>
      <c r="K383" s="19">
        <f>78369.12/1000</f>
        <v>78.369119999999995</v>
      </c>
      <c r="L383" s="2"/>
    </row>
    <row r="384" spans="2:12" ht="46.5" customHeight="1" x14ac:dyDescent="0.25">
      <c r="B384" s="163"/>
      <c r="C384" s="93" t="s">
        <v>473</v>
      </c>
      <c r="D384" s="12" t="s">
        <v>26</v>
      </c>
      <c r="E384" s="12" t="s">
        <v>26</v>
      </c>
      <c r="F384" s="89">
        <f>H384</f>
        <v>25.087799999999998</v>
      </c>
      <c r="G384" s="14" t="s">
        <v>475</v>
      </c>
      <c r="H384" s="12">
        <f>25087.8/1000</f>
        <v>25.087799999999998</v>
      </c>
      <c r="I384" s="89">
        <f>K384</f>
        <v>25.087799999999998</v>
      </c>
      <c r="J384" s="89" t="s">
        <v>476</v>
      </c>
      <c r="K384" s="19">
        <f>25087.8/1000</f>
        <v>25.087799999999998</v>
      </c>
      <c r="L384" s="2"/>
    </row>
    <row r="385" spans="2:12" ht="46.5" customHeight="1" x14ac:dyDescent="0.25">
      <c r="B385" s="163"/>
      <c r="C385" s="183" t="s">
        <v>81</v>
      </c>
      <c r="D385" s="195" t="s">
        <v>477</v>
      </c>
      <c r="E385" s="168">
        <f>18903434.35/1000</f>
        <v>18903.434350000003</v>
      </c>
      <c r="F385" s="168">
        <f>H385+H386</f>
        <v>18903.34274</v>
      </c>
      <c r="G385" s="14" t="s">
        <v>478</v>
      </c>
      <c r="H385" s="12">
        <f>9682387.96/1000</f>
        <v>9682.38796</v>
      </c>
      <c r="I385" s="168" t="str">
        <f>K385</f>
        <v>__</v>
      </c>
      <c r="J385" s="168" t="s">
        <v>26</v>
      </c>
      <c r="K385" s="197" t="s">
        <v>26</v>
      </c>
      <c r="L385" s="2"/>
    </row>
    <row r="386" spans="2:12" ht="46.5" customHeight="1" x14ac:dyDescent="0.25">
      <c r="B386" s="163"/>
      <c r="C386" s="183"/>
      <c r="D386" s="200"/>
      <c r="E386" s="156"/>
      <c r="F386" s="156"/>
      <c r="G386" s="14" t="s">
        <v>479</v>
      </c>
      <c r="H386" s="12">
        <f>9220954.78/1000</f>
        <v>9220.95478</v>
      </c>
      <c r="I386" s="169"/>
      <c r="J386" s="169"/>
      <c r="K386" s="198"/>
      <c r="L386" s="2"/>
    </row>
    <row r="387" spans="2:12" ht="46.5" customHeight="1" x14ac:dyDescent="0.25">
      <c r="B387" s="163"/>
      <c r="C387" s="11" t="s">
        <v>43</v>
      </c>
      <c r="D387" s="11" t="s">
        <v>44</v>
      </c>
      <c r="E387" s="57" t="s">
        <v>26</v>
      </c>
      <c r="F387" s="14">
        <f>H387</f>
        <v>480.05205999999998</v>
      </c>
      <c r="G387" s="12" t="s">
        <v>167</v>
      </c>
      <c r="H387" s="12">
        <f>480052.06/1000</f>
        <v>480.05205999999998</v>
      </c>
      <c r="I387" s="169"/>
      <c r="J387" s="169"/>
      <c r="K387" s="198"/>
      <c r="L387" s="2"/>
    </row>
    <row r="388" spans="2:12" ht="46.5" customHeight="1" x14ac:dyDescent="0.25">
      <c r="B388" s="163"/>
      <c r="C388" s="11" t="s">
        <v>43</v>
      </c>
      <c r="D388" s="11" t="s">
        <v>44</v>
      </c>
      <c r="E388" s="57" t="s">
        <v>26</v>
      </c>
      <c r="F388" s="14">
        <f>H388</f>
        <v>37.89855</v>
      </c>
      <c r="G388" s="12" t="s">
        <v>465</v>
      </c>
      <c r="H388" s="12">
        <f>37898.55/1000</f>
        <v>37.89855</v>
      </c>
      <c r="I388" s="169"/>
      <c r="J388" s="169"/>
      <c r="K388" s="198"/>
      <c r="L388" s="2"/>
    </row>
    <row r="389" spans="2:12" ht="46.5" customHeight="1" x14ac:dyDescent="0.25">
      <c r="B389" s="163"/>
      <c r="C389" s="11" t="s">
        <v>81</v>
      </c>
      <c r="D389" s="89" t="s">
        <v>480</v>
      </c>
      <c r="E389" s="14">
        <f>1529429.09/1000</f>
        <v>1529.4290900000001</v>
      </c>
      <c r="F389" s="14">
        <f>H389</f>
        <v>1529.4290900000001</v>
      </c>
      <c r="G389" s="14" t="s">
        <v>481</v>
      </c>
      <c r="H389" s="12">
        <f>1529429.09/1000</f>
        <v>1529.4290900000001</v>
      </c>
      <c r="I389" s="169"/>
      <c r="J389" s="169"/>
      <c r="K389" s="198"/>
      <c r="L389" s="2"/>
    </row>
    <row r="390" spans="2:12" ht="46.5" customHeight="1" x14ac:dyDescent="0.25">
      <c r="B390" s="163"/>
      <c r="C390" s="11" t="s">
        <v>43</v>
      </c>
      <c r="D390" s="11" t="s">
        <v>44</v>
      </c>
      <c r="E390" s="57" t="s">
        <v>26</v>
      </c>
      <c r="F390" s="14">
        <f>H390</f>
        <v>0.12146</v>
      </c>
      <c r="G390" s="12" t="s">
        <v>465</v>
      </c>
      <c r="H390" s="12">
        <f>121.46/1000</f>
        <v>0.12146</v>
      </c>
      <c r="I390" s="156"/>
      <c r="J390" s="156"/>
      <c r="K390" s="199"/>
      <c r="L390" s="2"/>
    </row>
    <row r="391" spans="2:12" ht="46.5" customHeight="1" x14ac:dyDescent="0.25">
      <c r="B391" s="163"/>
      <c r="C391" s="179" t="s">
        <v>482</v>
      </c>
      <c r="D391" s="180"/>
      <c r="E391" s="14" t="s">
        <v>26</v>
      </c>
      <c r="F391" s="14" t="s">
        <v>26</v>
      </c>
      <c r="G391" s="14" t="s">
        <v>26</v>
      </c>
      <c r="H391" s="14" t="s">
        <v>26</v>
      </c>
      <c r="I391" s="12">
        <f>K391</f>
        <v>1329.7111312</v>
      </c>
      <c r="J391" s="14" t="s">
        <v>26</v>
      </c>
      <c r="K391" s="19">
        <f>1126873.84*1.18/1000</f>
        <v>1329.7111312</v>
      </c>
      <c r="L391" s="2"/>
    </row>
    <row r="392" spans="2:12" ht="33" customHeight="1" x14ac:dyDescent="0.25">
      <c r="B392" s="163"/>
      <c r="C392" s="179" t="s">
        <v>483</v>
      </c>
      <c r="D392" s="180"/>
      <c r="E392" s="12" t="s">
        <v>26</v>
      </c>
      <c r="F392" s="12">
        <f t="shared" si="32"/>
        <v>77.598399999999998</v>
      </c>
      <c r="G392" s="12" t="s">
        <v>26</v>
      </c>
      <c r="H392" s="12">
        <v>77.598399999999998</v>
      </c>
      <c r="I392" s="21">
        <f t="shared" ref="I392:I397" si="33">K392</f>
        <v>77.598399999999998</v>
      </c>
      <c r="J392" s="12" t="s">
        <v>26</v>
      </c>
      <c r="K392" s="17">
        <v>77.598399999999998</v>
      </c>
      <c r="L392" s="2"/>
    </row>
    <row r="393" spans="2:12" ht="32.25" customHeight="1" x14ac:dyDescent="0.25">
      <c r="B393" s="163"/>
      <c r="C393" s="191" t="s">
        <v>484</v>
      </c>
      <c r="D393" s="180"/>
      <c r="E393" s="12" t="s">
        <v>26</v>
      </c>
      <c r="F393" s="12">
        <f t="shared" si="32"/>
        <v>70.088880000000003</v>
      </c>
      <c r="G393" s="12" t="s">
        <v>26</v>
      </c>
      <c r="H393" s="14">
        <v>70.088880000000003</v>
      </c>
      <c r="I393" s="21">
        <f t="shared" si="33"/>
        <v>70.088880000000003</v>
      </c>
      <c r="J393" s="12" t="s">
        <v>26</v>
      </c>
      <c r="K393" s="25">
        <v>70.088880000000003</v>
      </c>
      <c r="L393" s="2"/>
    </row>
    <row r="394" spans="2:12" ht="27" customHeight="1" x14ac:dyDescent="0.25">
      <c r="B394" s="163"/>
      <c r="C394" s="191" t="s">
        <v>339</v>
      </c>
      <c r="D394" s="180"/>
      <c r="E394" s="12" t="s">
        <v>26</v>
      </c>
      <c r="F394" s="12">
        <f t="shared" si="32"/>
        <v>77.598399999999998</v>
      </c>
      <c r="G394" s="12" t="s">
        <v>26</v>
      </c>
      <c r="H394" s="14">
        <f>77.5984</f>
        <v>77.598399999999998</v>
      </c>
      <c r="I394" s="12">
        <f t="shared" si="33"/>
        <v>77.598399999999998</v>
      </c>
      <c r="J394" s="12" t="s">
        <v>26</v>
      </c>
      <c r="K394" s="25">
        <f>77.5984</f>
        <v>77.598399999999998</v>
      </c>
      <c r="L394" s="2"/>
    </row>
    <row r="395" spans="2:12" ht="33" customHeight="1" x14ac:dyDescent="0.25">
      <c r="B395" s="163"/>
      <c r="C395" s="191" t="s">
        <v>340</v>
      </c>
      <c r="D395" s="180"/>
      <c r="E395" s="12" t="s">
        <v>26</v>
      </c>
      <c r="F395" s="12">
        <f t="shared" si="32"/>
        <v>75.095219999999998</v>
      </c>
      <c r="G395" s="12" t="s">
        <v>26</v>
      </c>
      <c r="H395" s="14">
        <v>75.095219999999998</v>
      </c>
      <c r="I395" s="12">
        <f t="shared" si="33"/>
        <v>75.095219999999998</v>
      </c>
      <c r="J395" s="12" t="s">
        <v>26</v>
      </c>
      <c r="K395" s="25">
        <v>75.095219999999998</v>
      </c>
      <c r="L395" s="2"/>
    </row>
    <row r="396" spans="2:12" ht="27" customHeight="1" x14ac:dyDescent="0.25">
      <c r="B396" s="163"/>
      <c r="C396" s="191" t="s">
        <v>341</v>
      </c>
      <c r="D396" s="180"/>
      <c r="E396" s="12" t="s">
        <v>26</v>
      </c>
      <c r="F396" s="12">
        <f t="shared" si="32"/>
        <v>77.598399999999998</v>
      </c>
      <c r="G396" s="12" t="s">
        <v>26</v>
      </c>
      <c r="H396" s="14">
        <v>77.598399999999998</v>
      </c>
      <c r="I396" s="12">
        <f t="shared" si="33"/>
        <v>77.598399999999998</v>
      </c>
      <c r="J396" s="12" t="s">
        <v>26</v>
      </c>
      <c r="K396" s="25">
        <v>77.598399999999998</v>
      </c>
      <c r="L396" s="2"/>
    </row>
    <row r="397" spans="2:12" ht="27" customHeight="1" x14ac:dyDescent="0.25">
      <c r="B397" s="163"/>
      <c r="C397" s="191" t="s">
        <v>342</v>
      </c>
      <c r="D397" s="180"/>
      <c r="E397" s="12" t="s">
        <v>26</v>
      </c>
      <c r="F397" s="12">
        <f t="shared" si="32"/>
        <v>75.094999999999999</v>
      </c>
      <c r="G397" s="12" t="s">
        <v>26</v>
      </c>
      <c r="H397" s="14">
        <v>75.094999999999999</v>
      </c>
      <c r="I397" s="12">
        <f t="shared" si="33"/>
        <v>75.094999999999999</v>
      </c>
      <c r="J397" s="12" t="s">
        <v>26</v>
      </c>
      <c r="K397" s="25">
        <v>75.094999999999999</v>
      </c>
      <c r="L397" s="2"/>
    </row>
    <row r="398" spans="2:12" ht="33" customHeight="1" x14ac:dyDescent="0.25">
      <c r="B398" s="163"/>
      <c r="C398" s="152" t="s">
        <v>50</v>
      </c>
      <c r="D398" s="153"/>
      <c r="E398" s="11" t="s">
        <v>26</v>
      </c>
      <c r="F398" s="12">
        <f t="shared" si="32"/>
        <v>38.503465336508</v>
      </c>
      <c r="G398" s="11" t="s">
        <v>26</v>
      </c>
      <c r="H398" s="12">
        <v>38.503465336508</v>
      </c>
      <c r="I398" s="12">
        <f>K398</f>
        <v>184.95984999999999</v>
      </c>
      <c r="J398" s="11" t="s">
        <v>26</v>
      </c>
      <c r="K398" s="17">
        <v>184.95984999999999</v>
      </c>
      <c r="L398" s="2"/>
    </row>
    <row r="399" spans="2:12" ht="33.75" customHeight="1" x14ac:dyDescent="0.25">
      <c r="B399" s="163"/>
      <c r="C399" s="152" t="s">
        <v>51</v>
      </c>
      <c r="D399" s="153"/>
      <c r="E399" s="23" t="s">
        <v>26</v>
      </c>
      <c r="F399" s="12">
        <f t="shared" si="32"/>
        <v>225.78972823834599</v>
      </c>
      <c r="G399" s="11" t="s">
        <v>26</v>
      </c>
      <c r="H399" s="12">
        <f>225789.728238346/1000</f>
        <v>225.78972823834599</v>
      </c>
      <c r="I399" s="12">
        <f>K399</f>
        <v>217.67599999999999</v>
      </c>
      <c r="J399" s="11" t="s">
        <v>26</v>
      </c>
      <c r="K399" s="17">
        <v>217.67599999999999</v>
      </c>
      <c r="L399" s="2"/>
    </row>
    <row r="400" spans="2:12" ht="33.75" customHeight="1" x14ac:dyDescent="0.25">
      <c r="B400" s="163"/>
      <c r="C400" s="152" t="s">
        <v>52</v>
      </c>
      <c r="D400" s="153"/>
      <c r="E400" s="23" t="s">
        <v>26</v>
      </c>
      <c r="F400" s="26">
        <f t="shared" si="32"/>
        <v>225.50865407164298</v>
      </c>
      <c r="G400" s="23" t="s">
        <v>26</v>
      </c>
      <c r="H400" s="26">
        <f>225508.654071643/1000</f>
        <v>225.50865407164298</v>
      </c>
      <c r="I400" s="26">
        <f>K400</f>
        <v>296.93538999999998</v>
      </c>
      <c r="J400" s="23" t="s">
        <v>26</v>
      </c>
      <c r="K400" s="16">
        <v>296.93538999999998</v>
      </c>
      <c r="L400" s="2"/>
    </row>
    <row r="401" spans="2:12" ht="33.75" customHeight="1" x14ac:dyDescent="0.25">
      <c r="B401" s="163"/>
      <c r="C401" s="152" t="s">
        <v>53</v>
      </c>
      <c r="D401" s="153"/>
      <c r="E401" s="23" t="s">
        <v>26</v>
      </c>
      <c r="F401" s="26">
        <f t="shared" si="32"/>
        <v>299.14965999999998</v>
      </c>
      <c r="G401" s="23" t="s">
        <v>26</v>
      </c>
      <c r="H401" s="26">
        <v>299.14965999999998</v>
      </c>
      <c r="I401" s="26">
        <f t="shared" ref="I401:I404" si="34">K401</f>
        <v>305.44977999999998</v>
      </c>
      <c r="J401" s="23" t="s">
        <v>26</v>
      </c>
      <c r="K401" s="16">
        <v>305.44977999999998</v>
      </c>
      <c r="L401" s="2"/>
    </row>
    <row r="402" spans="2:12" ht="33.75" customHeight="1" x14ac:dyDescent="0.25">
      <c r="B402" s="163"/>
      <c r="C402" s="152" t="s">
        <v>54</v>
      </c>
      <c r="D402" s="153"/>
      <c r="E402" s="23" t="s">
        <v>26</v>
      </c>
      <c r="F402" s="26">
        <f t="shared" si="32"/>
        <v>340.94722000000002</v>
      </c>
      <c r="G402" s="23" t="s">
        <v>26</v>
      </c>
      <c r="H402" s="26">
        <v>340.94722000000002</v>
      </c>
      <c r="I402" s="26">
        <f t="shared" si="34"/>
        <v>289.30772000000002</v>
      </c>
      <c r="J402" s="23" t="s">
        <v>26</v>
      </c>
      <c r="K402" s="16">
        <v>289.30772000000002</v>
      </c>
      <c r="L402" s="2"/>
    </row>
    <row r="403" spans="2:12" ht="33.75" customHeight="1" x14ac:dyDescent="0.25">
      <c r="B403" s="163"/>
      <c r="C403" s="152" t="s">
        <v>55</v>
      </c>
      <c r="D403" s="153"/>
      <c r="E403" s="23" t="s">
        <v>26</v>
      </c>
      <c r="F403" s="26">
        <f t="shared" si="32"/>
        <v>247.49245999999999</v>
      </c>
      <c r="G403" s="23" t="s">
        <v>26</v>
      </c>
      <c r="H403" s="26">
        <v>247.49245999999999</v>
      </c>
      <c r="I403" s="26">
        <f t="shared" si="34"/>
        <v>305.30185</v>
      </c>
      <c r="J403" s="23" t="s">
        <v>26</v>
      </c>
      <c r="K403" s="16">
        <v>305.30185</v>
      </c>
      <c r="L403" s="2"/>
    </row>
    <row r="404" spans="2:12" ht="45" customHeight="1" x14ac:dyDescent="0.25">
      <c r="B404" s="163"/>
      <c r="C404" s="179" t="s">
        <v>56</v>
      </c>
      <c r="D404" s="180"/>
      <c r="E404" s="23" t="s">
        <v>26</v>
      </c>
      <c r="F404" s="26">
        <f t="shared" si="32"/>
        <v>269.86412999999999</v>
      </c>
      <c r="G404" s="23" t="s">
        <v>26</v>
      </c>
      <c r="H404" s="26">
        <v>269.86412999999999</v>
      </c>
      <c r="I404" s="26">
        <f t="shared" si="34"/>
        <v>258.05716000000001</v>
      </c>
      <c r="J404" s="23" t="s">
        <v>26</v>
      </c>
      <c r="K404" s="16">
        <f>235.48754+22.56962</f>
        <v>258.05716000000001</v>
      </c>
      <c r="L404" s="2"/>
    </row>
    <row r="405" spans="2:12" ht="45" customHeight="1" x14ac:dyDescent="0.25">
      <c r="B405" s="163"/>
      <c r="C405" s="179" t="s">
        <v>57</v>
      </c>
      <c r="D405" s="180"/>
      <c r="E405" s="23" t="s">
        <v>26</v>
      </c>
      <c r="F405" s="26">
        <f t="shared" si="32"/>
        <v>237.55785</v>
      </c>
      <c r="G405" s="23" t="s">
        <v>26</v>
      </c>
      <c r="H405" s="26">
        <f>237557.85/1000</f>
        <v>237.55785</v>
      </c>
      <c r="I405" s="26">
        <f>K405</f>
        <v>211.11372</v>
      </c>
      <c r="J405" s="23" t="s">
        <v>26</v>
      </c>
      <c r="K405" s="16">
        <f>(194699.63+16414.09)/1000</f>
        <v>211.11372</v>
      </c>
      <c r="L405" s="2"/>
    </row>
    <row r="406" spans="2:12" ht="56.25" customHeight="1" x14ac:dyDescent="0.25">
      <c r="B406" s="163"/>
      <c r="C406" s="179" t="s">
        <v>58</v>
      </c>
      <c r="D406" s="180"/>
      <c r="E406" s="23" t="s">
        <v>26</v>
      </c>
      <c r="F406" s="26">
        <f t="shared" si="32"/>
        <v>171.58271999999999</v>
      </c>
      <c r="G406" s="23" t="s">
        <v>26</v>
      </c>
      <c r="H406" s="26">
        <f>171582.72/1000</f>
        <v>171.58271999999999</v>
      </c>
      <c r="I406" s="26">
        <f t="shared" ref="I406:I410" si="35">K406</f>
        <v>141.01521</v>
      </c>
      <c r="J406" s="23" t="s">
        <v>26</v>
      </c>
      <c r="K406" s="16">
        <f>(130759.22+10255.99)/1000</f>
        <v>141.01521</v>
      </c>
      <c r="L406" s="2"/>
    </row>
    <row r="407" spans="2:12" ht="53.25" customHeight="1" x14ac:dyDescent="0.25">
      <c r="B407" s="163"/>
      <c r="C407" s="183" t="s">
        <v>59</v>
      </c>
      <c r="D407" s="183"/>
      <c r="E407" s="11" t="s">
        <v>26</v>
      </c>
      <c r="F407" s="12">
        <f t="shared" si="32"/>
        <v>137.83266</v>
      </c>
      <c r="G407" s="11" t="s">
        <v>26</v>
      </c>
      <c r="H407" s="12">
        <f>137832.66/1000</f>
        <v>137.83266</v>
      </c>
      <c r="I407" s="20">
        <f t="shared" si="35"/>
        <v>163.78626</v>
      </c>
      <c r="J407" s="11" t="s">
        <v>26</v>
      </c>
      <c r="K407" s="24">
        <f>(151144.47+12641.79)/1000</f>
        <v>163.78626</v>
      </c>
      <c r="L407" s="2"/>
    </row>
    <row r="408" spans="2:12" ht="53.25" customHeight="1" x14ac:dyDescent="0.25">
      <c r="B408" s="163"/>
      <c r="C408" s="179" t="s">
        <v>60</v>
      </c>
      <c r="D408" s="180"/>
      <c r="E408" s="11" t="s">
        <v>26</v>
      </c>
      <c r="F408" s="12">
        <f t="shared" si="32"/>
        <v>146.20089999999999</v>
      </c>
      <c r="G408" s="11" t="s">
        <v>26</v>
      </c>
      <c r="H408" s="12">
        <f>146200.9/1000</f>
        <v>146.20089999999999</v>
      </c>
      <c r="I408" s="20">
        <f t="shared" si="35"/>
        <v>172.84481</v>
      </c>
      <c r="J408" s="11" t="s">
        <v>26</v>
      </c>
      <c r="K408" s="24">
        <f>(161258.79+11586.02)/1000</f>
        <v>172.84481</v>
      </c>
      <c r="L408" s="2"/>
    </row>
    <row r="409" spans="2:12" ht="53.25" customHeight="1" x14ac:dyDescent="0.25">
      <c r="B409" s="163"/>
      <c r="C409" s="188" t="s">
        <v>61</v>
      </c>
      <c r="D409" s="167"/>
      <c r="E409" s="13" t="s">
        <v>26</v>
      </c>
      <c r="F409" s="14">
        <f t="shared" si="32"/>
        <v>164.94112891705598</v>
      </c>
      <c r="G409" s="13" t="s">
        <v>26</v>
      </c>
      <c r="H409" s="14">
        <f>164941.128917056/1000</f>
        <v>164.94112891705598</v>
      </c>
      <c r="I409" s="62">
        <f t="shared" si="35"/>
        <v>164.53249</v>
      </c>
      <c r="J409" s="13" t="s">
        <v>26</v>
      </c>
      <c r="K409" s="25">
        <f>164532.49/1000</f>
        <v>164.53249</v>
      </c>
      <c r="L409" s="2"/>
    </row>
    <row r="410" spans="2:12" ht="53.25" customHeight="1" x14ac:dyDescent="0.25">
      <c r="B410" s="163"/>
      <c r="C410" s="179" t="s">
        <v>62</v>
      </c>
      <c r="D410" s="180"/>
      <c r="E410" s="11" t="s">
        <v>26</v>
      </c>
      <c r="F410" s="12">
        <f t="shared" si="32"/>
        <v>0</v>
      </c>
      <c r="G410" s="11" t="s">
        <v>26</v>
      </c>
      <c r="H410" s="12">
        <v>0</v>
      </c>
      <c r="I410" s="20">
        <f t="shared" si="35"/>
        <v>-73.46750999999999</v>
      </c>
      <c r="J410" s="11" t="s">
        <v>26</v>
      </c>
      <c r="K410" s="24">
        <f>-73467.51/1000</f>
        <v>-73.46750999999999</v>
      </c>
      <c r="L410" s="2"/>
    </row>
    <row r="411" spans="2:12" ht="30.75" customHeight="1" x14ac:dyDescent="0.25">
      <c r="B411" s="163"/>
      <c r="C411" s="194" t="s">
        <v>349</v>
      </c>
      <c r="D411" s="166"/>
      <c r="E411" s="63" t="s">
        <v>26</v>
      </c>
      <c r="F411" s="37">
        <f t="shared" si="32"/>
        <v>8.0020900000000008</v>
      </c>
      <c r="G411" s="63" t="s">
        <v>26</v>
      </c>
      <c r="H411" s="37">
        <f>8002.09/1000</f>
        <v>8.0020900000000008</v>
      </c>
      <c r="I411" s="94">
        <f>K411</f>
        <v>8.0020900000000008</v>
      </c>
      <c r="J411" s="63" t="s">
        <v>26</v>
      </c>
      <c r="K411" s="65">
        <f>H411</f>
        <v>8.0020900000000008</v>
      </c>
      <c r="L411" s="2"/>
    </row>
    <row r="412" spans="2:12" ht="33.75" customHeight="1" x14ac:dyDescent="0.25">
      <c r="B412" s="163"/>
      <c r="C412" s="152" t="s">
        <v>350</v>
      </c>
      <c r="D412" s="153"/>
      <c r="E412" s="23" t="s">
        <v>26</v>
      </c>
      <c r="F412" s="26">
        <f t="shared" si="32"/>
        <v>7.1822600000000003</v>
      </c>
      <c r="G412" s="23" t="s">
        <v>26</v>
      </c>
      <c r="H412" s="12">
        <f>7182.26/1000</f>
        <v>7.1822600000000003</v>
      </c>
      <c r="I412" s="27">
        <f>K412</f>
        <v>7.1822600000000003</v>
      </c>
      <c r="J412" s="26" t="s">
        <v>26</v>
      </c>
      <c r="K412" s="28">
        <v>7.1822600000000003</v>
      </c>
      <c r="L412" s="2"/>
    </row>
    <row r="413" spans="2:12" ht="33.75" customHeight="1" x14ac:dyDescent="0.25">
      <c r="B413" s="163"/>
      <c r="C413" s="179" t="s">
        <v>351</v>
      </c>
      <c r="D413" s="180"/>
      <c r="E413" s="11" t="s">
        <v>26</v>
      </c>
      <c r="F413" s="12">
        <f t="shared" si="32"/>
        <v>7.9089982490000006</v>
      </c>
      <c r="G413" s="11" t="s">
        <v>26</v>
      </c>
      <c r="H413" s="12">
        <f>7908.998249/1000</f>
        <v>7.9089982490000006</v>
      </c>
      <c r="I413" s="12">
        <f t="shared" ref="I413:I433" si="36">K413</f>
        <v>7.9089982490000006</v>
      </c>
      <c r="J413" s="11" t="s">
        <v>26</v>
      </c>
      <c r="K413" s="17">
        <f>7908.998249/1000</f>
        <v>7.9089982490000006</v>
      </c>
      <c r="L413" s="2"/>
    </row>
    <row r="414" spans="2:12" ht="33.75" customHeight="1" x14ac:dyDescent="0.25">
      <c r="B414" s="163"/>
      <c r="C414" s="179" t="s">
        <v>63</v>
      </c>
      <c r="D414" s="180"/>
      <c r="E414" s="11" t="s">
        <v>26</v>
      </c>
      <c r="F414" s="12">
        <f t="shared" si="32"/>
        <v>6959.1263082155101</v>
      </c>
      <c r="G414" s="11" t="s">
        <v>26</v>
      </c>
      <c r="H414" s="12">
        <v>6959.1263082155101</v>
      </c>
      <c r="I414" s="12">
        <f t="shared" si="36"/>
        <v>6959.1263082155101</v>
      </c>
      <c r="J414" s="11" t="s">
        <v>26</v>
      </c>
      <c r="K414" s="28">
        <v>6959.1263082155101</v>
      </c>
      <c r="L414" s="2"/>
    </row>
    <row r="415" spans="2:12" ht="33.75" customHeight="1" x14ac:dyDescent="0.25">
      <c r="B415" s="163"/>
      <c r="C415" s="179" t="s">
        <v>352</v>
      </c>
      <c r="D415" s="180"/>
      <c r="E415" s="11" t="s">
        <v>26</v>
      </c>
      <c r="F415" s="12">
        <f t="shared" si="32"/>
        <v>2870.86307390817</v>
      </c>
      <c r="G415" s="11" t="s">
        <v>26</v>
      </c>
      <c r="H415" s="12">
        <v>2870.86307390817</v>
      </c>
      <c r="I415" s="12">
        <f t="shared" si="36"/>
        <v>2870.86307390817</v>
      </c>
      <c r="J415" s="11" t="s">
        <v>26</v>
      </c>
      <c r="K415" s="24">
        <v>2870.86307390817</v>
      </c>
      <c r="L415" s="2"/>
    </row>
    <row r="416" spans="2:12" ht="33.75" customHeight="1" x14ac:dyDescent="0.25">
      <c r="B416" s="163"/>
      <c r="C416" s="152" t="s">
        <v>64</v>
      </c>
      <c r="D416" s="153"/>
      <c r="E416" s="11" t="s">
        <v>26</v>
      </c>
      <c r="F416" s="12">
        <f t="shared" si="32"/>
        <v>3186.5381389999998</v>
      </c>
      <c r="G416" s="11" t="s">
        <v>26</v>
      </c>
      <c r="H416" s="12">
        <v>3186.5381389999998</v>
      </c>
      <c r="I416" s="12">
        <f t="shared" si="36"/>
        <v>3186.5381389999998</v>
      </c>
      <c r="J416" s="11" t="s">
        <v>26</v>
      </c>
      <c r="K416" s="24">
        <v>3186.5381389999998</v>
      </c>
      <c r="L416" s="2"/>
    </row>
    <row r="417" spans="2:12" ht="33.75" customHeight="1" x14ac:dyDescent="0.25">
      <c r="B417" s="163"/>
      <c r="C417" s="183" t="s">
        <v>65</v>
      </c>
      <c r="D417" s="183"/>
      <c r="E417" s="11" t="s">
        <v>26</v>
      </c>
      <c r="F417" s="12">
        <f t="shared" si="32"/>
        <v>91.981719999999996</v>
      </c>
      <c r="G417" s="11" t="s">
        <v>26</v>
      </c>
      <c r="H417" s="12">
        <v>91.981719999999996</v>
      </c>
      <c r="I417" s="12">
        <f t="shared" si="36"/>
        <v>91.981719999999996</v>
      </c>
      <c r="J417" s="11" t="s">
        <v>26</v>
      </c>
      <c r="K417" s="17">
        <v>91.981719999999996</v>
      </c>
      <c r="L417" s="2"/>
    </row>
    <row r="418" spans="2:12" ht="33.75" customHeight="1" x14ac:dyDescent="0.25">
      <c r="B418" s="163"/>
      <c r="C418" s="164" t="s">
        <v>66</v>
      </c>
      <c r="D418" s="164"/>
      <c r="E418" s="23" t="s">
        <v>26</v>
      </c>
      <c r="F418" s="26">
        <f t="shared" si="32"/>
        <v>92.825779999999995</v>
      </c>
      <c r="G418" s="23" t="s">
        <v>26</v>
      </c>
      <c r="H418" s="26">
        <f>92825.78/1000</f>
        <v>92.825779999999995</v>
      </c>
      <c r="I418" s="26">
        <f t="shared" si="36"/>
        <v>92.825779999999995</v>
      </c>
      <c r="J418" s="23" t="s">
        <v>26</v>
      </c>
      <c r="K418" s="16">
        <f>92825.78/1000</f>
        <v>92.825779999999995</v>
      </c>
      <c r="L418" s="2"/>
    </row>
    <row r="419" spans="2:12" ht="33.75" customHeight="1" x14ac:dyDescent="0.25">
      <c r="B419" s="163"/>
      <c r="C419" s="183" t="s">
        <v>67</v>
      </c>
      <c r="D419" s="183"/>
      <c r="E419" s="11" t="s">
        <v>26</v>
      </c>
      <c r="F419" s="12">
        <f>H419</f>
        <v>52.698809999999995</v>
      </c>
      <c r="G419" s="11" t="s">
        <v>26</v>
      </c>
      <c r="H419" s="12">
        <f>(8225.41+44473.4)/1000</f>
        <v>52.698809999999995</v>
      </c>
      <c r="I419" s="20">
        <f t="shared" si="36"/>
        <v>52.698809999999995</v>
      </c>
      <c r="J419" s="11" t="s">
        <v>26</v>
      </c>
      <c r="K419" s="24">
        <f>H419</f>
        <v>52.698809999999995</v>
      </c>
      <c r="L419" s="2"/>
    </row>
    <row r="420" spans="2:12" ht="44.25" customHeight="1" x14ac:dyDescent="0.25">
      <c r="B420" s="163"/>
      <c r="C420" s="165" t="s">
        <v>107</v>
      </c>
      <c r="D420" s="165"/>
      <c r="E420" s="13"/>
      <c r="F420" s="14">
        <f t="shared" ref="F420" si="37">H420</f>
        <v>483.84921999999995</v>
      </c>
      <c r="G420" s="13" t="s">
        <v>26</v>
      </c>
      <c r="H420" s="14">
        <f>483849.22/1000</f>
        <v>483.84921999999995</v>
      </c>
      <c r="I420" s="62">
        <f t="shared" si="36"/>
        <v>483.84921999999995</v>
      </c>
      <c r="J420" s="13" t="s">
        <v>26</v>
      </c>
      <c r="K420" s="25">
        <f>H420</f>
        <v>483.84921999999995</v>
      </c>
      <c r="L420" s="2"/>
    </row>
    <row r="421" spans="2:12" ht="42" customHeight="1" thickBot="1" x14ac:dyDescent="0.3">
      <c r="B421" s="151"/>
      <c r="C421" s="189" t="s">
        <v>68</v>
      </c>
      <c r="D421" s="190"/>
      <c r="E421" s="29" t="s">
        <v>26</v>
      </c>
      <c r="F421" s="30">
        <f>H421</f>
        <v>985.20527015770995</v>
      </c>
      <c r="G421" s="29" t="s">
        <v>26</v>
      </c>
      <c r="H421" s="95">
        <f>985205.27015771/1000</f>
        <v>985.20527015770995</v>
      </c>
      <c r="I421" s="31">
        <f>K421</f>
        <v>985.20527015770995</v>
      </c>
      <c r="J421" s="29" t="s">
        <v>26</v>
      </c>
      <c r="K421" s="32">
        <f>H421</f>
        <v>985.20527015770995</v>
      </c>
      <c r="L421" s="2"/>
    </row>
    <row r="422" spans="2:12" ht="50.25" customHeight="1" x14ac:dyDescent="0.25">
      <c r="B422" s="192" t="s">
        <v>485</v>
      </c>
      <c r="C422" s="34" t="s">
        <v>27</v>
      </c>
      <c r="D422" s="90" t="s">
        <v>28</v>
      </c>
      <c r="E422" s="35" t="s">
        <v>29</v>
      </c>
      <c r="F422" s="35" t="str">
        <f>H422</f>
        <v>__</v>
      </c>
      <c r="G422" s="11" t="s">
        <v>26</v>
      </c>
      <c r="H422" s="11" t="s">
        <v>26</v>
      </c>
      <c r="I422" s="48">
        <f t="shared" si="36"/>
        <v>150</v>
      </c>
      <c r="J422" s="35" t="s">
        <v>42</v>
      </c>
      <c r="K422" s="36">
        <f>150000/1000</f>
        <v>150</v>
      </c>
      <c r="L422" s="2"/>
    </row>
    <row r="423" spans="2:12" ht="51" customHeight="1" thickBot="1" x14ac:dyDescent="0.3">
      <c r="B423" s="193"/>
      <c r="C423" s="189" t="s">
        <v>67</v>
      </c>
      <c r="D423" s="190"/>
      <c r="E423" s="29" t="s">
        <v>26</v>
      </c>
      <c r="F423" s="30">
        <f>H423</f>
        <v>13.34202</v>
      </c>
      <c r="G423" s="29" t="s">
        <v>26</v>
      </c>
      <c r="H423" s="30">
        <f>13342.02/1000</f>
        <v>13.34202</v>
      </c>
      <c r="I423" s="31">
        <f t="shared" si="36"/>
        <v>13.34202</v>
      </c>
      <c r="J423" s="29" t="s">
        <v>26</v>
      </c>
      <c r="K423" s="32">
        <f>H423</f>
        <v>13.34202</v>
      </c>
      <c r="L423" s="2"/>
    </row>
    <row r="424" spans="2:12" ht="50.25" customHeight="1" x14ac:dyDescent="0.25">
      <c r="B424" s="150" t="s">
        <v>486</v>
      </c>
      <c r="C424" s="34" t="s">
        <v>27</v>
      </c>
      <c r="D424" s="90" t="s">
        <v>28</v>
      </c>
      <c r="E424" s="35" t="s">
        <v>29</v>
      </c>
      <c r="F424" s="35" t="str">
        <f>H424</f>
        <v>__</v>
      </c>
      <c r="G424" s="11" t="s">
        <v>26</v>
      </c>
      <c r="H424" s="11" t="s">
        <v>26</v>
      </c>
      <c r="I424" s="48">
        <f t="shared" si="36"/>
        <v>300</v>
      </c>
      <c r="J424" s="35" t="s">
        <v>42</v>
      </c>
      <c r="K424" s="36">
        <f>300000/1000</f>
        <v>300</v>
      </c>
      <c r="L424" s="2"/>
    </row>
    <row r="425" spans="2:12" ht="50.25" customHeight="1" x14ac:dyDescent="0.25">
      <c r="B425" s="163"/>
      <c r="C425" s="183" t="s">
        <v>270</v>
      </c>
      <c r="D425" s="153" t="s">
        <v>487</v>
      </c>
      <c r="E425" s="168">
        <f>13044711.21/1000</f>
        <v>13044.711210000001</v>
      </c>
      <c r="F425" s="168">
        <f>H425</f>
        <v>2428.636</v>
      </c>
      <c r="G425" s="13" t="s">
        <v>488</v>
      </c>
      <c r="H425" s="14">
        <f>2428636/1000</f>
        <v>2428.636</v>
      </c>
      <c r="I425" s="168">
        <f>K425+K426+K427+K428+K429</f>
        <v>12197.34318</v>
      </c>
      <c r="J425" s="14" t="s">
        <v>489</v>
      </c>
      <c r="K425" s="19">
        <f>1127100.98/1000</f>
        <v>1127.1009799999999</v>
      </c>
      <c r="L425" s="2"/>
    </row>
    <row r="426" spans="2:12" ht="50.25" customHeight="1" x14ac:dyDescent="0.25">
      <c r="B426" s="163"/>
      <c r="C426" s="183"/>
      <c r="D426" s="166"/>
      <c r="E426" s="169"/>
      <c r="F426" s="169"/>
      <c r="G426" s="164" t="s">
        <v>26</v>
      </c>
      <c r="H426" s="164" t="s">
        <v>26</v>
      </c>
      <c r="I426" s="169"/>
      <c r="J426" s="14" t="s">
        <v>490</v>
      </c>
      <c r="K426" s="19">
        <f>329862.89/1000</f>
        <v>329.86288999999999</v>
      </c>
      <c r="L426" s="2"/>
    </row>
    <row r="427" spans="2:12" ht="50.25" customHeight="1" x14ac:dyDescent="0.25">
      <c r="B427" s="163"/>
      <c r="C427" s="183"/>
      <c r="D427" s="166"/>
      <c r="E427" s="169"/>
      <c r="F427" s="169"/>
      <c r="G427" s="161"/>
      <c r="H427" s="161"/>
      <c r="I427" s="169"/>
      <c r="J427" s="14" t="s">
        <v>491</v>
      </c>
      <c r="K427" s="19">
        <f>6487958.16/1000</f>
        <v>6487.9581600000001</v>
      </c>
      <c r="L427" s="2"/>
    </row>
    <row r="428" spans="2:12" ht="50.25" customHeight="1" x14ac:dyDescent="0.25">
      <c r="B428" s="163"/>
      <c r="C428" s="183"/>
      <c r="D428" s="166"/>
      <c r="E428" s="169"/>
      <c r="F428" s="169"/>
      <c r="G428" s="161"/>
      <c r="H428" s="161"/>
      <c r="I428" s="169"/>
      <c r="J428" s="14" t="s">
        <v>492</v>
      </c>
      <c r="K428" s="19">
        <f>2661864.57/1000</f>
        <v>2661.8645699999997</v>
      </c>
      <c r="L428" s="2"/>
    </row>
    <row r="429" spans="2:12" ht="50.25" customHeight="1" x14ac:dyDescent="0.25">
      <c r="B429" s="163"/>
      <c r="C429" s="183"/>
      <c r="D429" s="166"/>
      <c r="E429" s="169"/>
      <c r="F429" s="169"/>
      <c r="G429" s="161"/>
      <c r="H429" s="161"/>
      <c r="I429" s="169"/>
      <c r="J429" s="14" t="s">
        <v>492</v>
      </c>
      <c r="K429" s="19">
        <f>1590556.58/1000</f>
        <v>1590.5565800000002</v>
      </c>
      <c r="L429" s="2"/>
    </row>
    <row r="430" spans="2:12" ht="53.25" customHeight="1" x14ac:dyDescent="0.25">
      <c r="B430" s="163"/>
      <c r="C430" s="179" t="s">
        <v>60</v>
      </c>
      <c r="D430" s="180"/>
      <c r="E430" s="11" t="s">
        <v>26</v>
      </c>
      <c r="F430" s="12">
        <f t="shared" ref="F430:F432" si="38">H430</f>
        <v>43.447369999999999</v>
      </c>
      <c r="G430" s="11" t="s">
        <v>26</v>
      </c>
      <c r="H430" s="12">
        <f>43447.37/1000</f>
        <v>43.447369999999999</v>
      </c>
      <c r="I430" s="20">
        <f t="shared" si="36"/>
        <v>182.14017000000001</v>
      </c>
      <c r="J430" s="11" t="s">
        <v>26</v>
      </c>
      <c r="K430" s="24">
        <f>(170082.45+12057.72)/1000</f>
        <v>182.14017000000001</v>
      </c>
      <c r="L430" s="2"/>
    </row>
    <row r="431" spans="2:12" ht="53.25" customHeight="1" x14ac:dyDescent="0.25">
      <c r="B431" s="163"/>
      <c r="C431" s="188" t="s">
        <v>61</v>
      </c>
      <c r="D431" s="167"/>
      <c r="E431" s="13" t="s">
        <v>26</v>
      </c>
      <c r="F431" s="14">
        <f t="shared" si="38"/>
        <v>176.19784062435801</v>
      </c>
      <c r="G431" s="13" t="s">
        <v>26</v>
      </c>
      <c r="H431" s="14">
        <f>176197.840624358/1000</f>
        <v>176.19784062435801</v>
      </c>
      <c r="I431" s="62">
        <f t="shared" si="36"/>
        <v>193.59661</v>
      </c>
      <c r="J431" s="13" t="s">
        <v>26</v>
      </c>
      <c r="K431" s="25">
        <f>193596.61/1000</f>
        <v>193.59661</v>
      </c>
      <c r="L431" s="2"/>
    </row>
    <row r="432" spans="2:12" ht="53.25" customHeight="1" x14ac:dyDescent="0.25">
      <c r="B432" s="163"/>
      <c r="C432" s="179" t="s">
        <v>62</v>
      </c>
      <c r="D432" s="180"/>
      <c r="E432" s="11" t="s">
        <v>26</v>
      </c>
      <c r="F432" s="12">
        <f t="shared" si="38"/>
        <v>0</v>
      </c>
      <c r="G432" s="11" t="s">
        <v>26</v>
      </c>
      <c r="H432" s="12">
        <v>0</v>
      </c>
      <c r="I432" s="20">
        <f t="shared" si="36"/>
        <v>-12.05772</v>
      </c>
      <c r="J432" s="11" t="s">
        <v>26</v>
      </c>
      <c r="K432" s="24">
        <f>-12057.72/1000</f>
        <v>-12.05772</v>
      </c>
      <c r="L432" s="2"/>
    </row>
    <row r="433" spans="2:12" ht="54.75" customHeight="1" x14ac:dyDescent="0.25">
      <c r="B433" s="163"/>
      <c r="C433" s="179" t="s">
        <v>67</v>
      </c>
      <c r="D433" s="180"/>
      <c r="E433" s="11" t="s">
        <v>26</v>
      </c>
      <c r="F433" s="12">
        <f>H433</f>
        <v>26.68404</v>
      </c>
      <c r="G433" s="11" t="s">
        <v>26</v>
      </c>
      <c r="H433" s="12">
        <f>26684.04/1000</f>
        <v>26.68404</v>
      </c>
      <c r="I433" s="20">
        <f t="shared" si="36"/>
        <v>26.68404</v>
      </c>
      <c r="J433" s="11" t="s">
        <v>26</v>
      </c>
      <c r="K433" s="24">
        <f>H433</f>
        <v>26.68404</v>
      </c>
      <c r="L433" s="2"/>
    </row>
    <row r="434" spans="2:12" ht="42" customHeight="1" thickBot="1" x14ac:dyDescent="0.3">
      <c r="B434" s="151"/>
      <c r="C434" s="184" t="s">
        <v>68</v>
      </c>
      <c r="D434" s="182"/>
      <c r="E434" s="38" t="s">
        <v>26</v>
      </c>
      <c r="F434" s="39">
        <f>H434</f>
        <v>1059.9590019182399</v>
      </c>
      <c r="G434" s="38" t="s">
        <v>26</v>
      </c>
      <c r="H434" s="54">
        <f>(1059959.00191824)/1000</f>
        <v>1059.9590019182399</v>
      </c>
      <c r="I434" s="40">
        <f>K434</f>
        <v>1059.9590019182399</v>
      </c>
      <c r="J434" s="38" t="s">
        <v>26</v>
      </c>
      <c r="K434" s="41">
        <f>H434</f>
        <v>1059.9590019182399</v>
      </c>
      <c r="L434" s="2"/>
    </row>
    <row r="435" spans="2:12" ht="47.25" customHeight="1" x14ac:dyDescent="0.25">
      <c r="B435" s="150" t="s">
        <v>493</v>
      </c>
      <c r="C435" s="160" t="s">
        <v>27</v>
      </c>
      <c r="D435" s="230" t="s">
        <v>28</v>
      </c>
      <c r="E435" s="155" t="s">
        <v>29</v>
      </c>
      <c r="F435" s="155">
        <f>H435+H436+H437+H438+H439+H440+H441</f>
        <v>266.97466000000003</v>
      </c>
      <c r="G435" s="148" t="s">
        <v>30</v>
      </c>
      <c r="H435" s="149">
        <v>36.9953</v>
      </c>
      <c r="I435" s="155">
        <f>K435+K436+K437+K438+K439+K440+K441</f>
        <v>266.97465</v>
      </c>
      <c r="J435" s="149" t="s">
        <v>331</v>
      </c>
      <c r="K435" s="36">
        <v>36.9953</v>
      </c>
      <c r="L435" s="2"/>
    </row>
    <row r="436" spans="2:12" ht="48.75" customHeight="1" x14ac:dyDescent="0.25">
      <c r="B436" s="163"/>
      <c r="C436" s="161"/>
      <c r="D436" s="166"/>
      <c r="E436" s="169"/>
      <c r="F436" s="169"/>
      <c r="G436" s="130" t="s">
        <v>332</v>
      </c>
      <c r="H436" s="139">
        <v>45.002850000000002</v>
      </c>
      <c r="I436" s="169"/>
      <c r="J436" s="139" t="s">
        <v>31</v>
      </c>
      <c r="K436" s="140">
        <v>45.002850000000002</v>
      </c>
      <c r="L436" s="2"/>
    </row>
    <row r="437" spans="2:12" ht="48" customHeight="1" x14ac:dyDescent="0.25">
      <c r="B437" s="163"/>
      <c r="C437" s="161"/>
      <c r="D437" s="166"/>
      <c r="E437" s="169"/>
      <c r="F437" s="169"/>
      <c r="G437" s="130" t="s">
        <v>32</v>
      </c>
      <c r="H437" s="139">
        <v>36.9953</v>
      </c>
      <c r="I437" s="169"/>
      <c r="J437" s="130" t="s">
        <v>33</v>
      </c>
      <c r="K437" s="140">
        <v>36.9953</v>
      </c>
      <c r="L437" s="2"/>
    </row>
    <row r="438" spans="2:12" ht="48" customHeight="1" x14ac:dyDescent="0.25">
      <c r="B438" s="163"/>
      <c r="C438" s="161"/>
      <c r="D438" s="166"/>
      <c r="E438" s="169"/>
      <c r="F438" s="169"/>
      <c r="G438" s="130" t="s">
        <v>494</v>
      </c>
      <c r="H438" s="139">
        <v>36.9953</v>
      </c>
      <c r="I438" s="169"/>
      <c r="J438" s="130" t="s">
        <v>35</v>
      </c>
      <c r="K438" s="140">
        <v>36.9953</v>
      </c>
      <c r="L438" s="2"/>
    </row>
    <row r="439" spans="2:12" ht="48" customHeight="1" x14ac:dyDescent="0.25">
      <c r="B439" s="163"/>
      <c r="C439" s="161"/>
      <c r="D439" s="166"/>
      <c r="E439" s="169"/>
      <c r="F439" s="169"/>
      <c r="G439" s="130" t="s">
        <v>495</v>
      </c>
      <c r="H439" s="139">
        <v>36.9953</v>
      </c>
      <c r="I439" s="169"/>
      <c r="J439" s="130" t="s">
        <v>37</v>
      </c>
      <c r="K439" s="140">
        <v>36.9953</v>
      </c>
      <c r="L439" s="2"/>
    </row>
    <row r="440" spans="2:12" ht="48" customHeight="1" x14ac:dyDescent="0.25">
      <c r="B440" s="163"/>
      <c r="C440" s="161"/>
      <c r="D440" s="166"/>
      <c r="E440" s="169"/>
      <c r="F440" s="169"/>
      <c r="G440" s="130" t="s">
        <v>496</v>
      </c>
      <c r="H440" s="139">
        <f>36995.3/1000</f>
        <v>36.9953</v>
      </c>
      <c r="I440" s="169"/>
      <c r="J440" s="128" t="s">
        <v>39</v>
      </c>
      <c r="K440" s="140">
        <v>36.9953</v>
      </c>
      <c r="L440" s="2"/>
    </row>
    <row r="441" spans="2:12" ht="48" customHeight="1" x14ac:dyDescent="0.25">
      <c r="B441" s="163"/>
      <c r="C441" s="161"/>
      <c r="D441" s="166"/>
      <c r="E441" s="169"/>
      <c r="F441" s="169"/>
      <c r="G441" s="130" t="s">
        <v>497</v>
      </c>
      <c r="H441" s="139">
        <f>36995.31/1000</f>
        <v>36.995309999999996</v>
      </c>
      <c r="I441" s="169"/>
      <c r="J441" s="128" t="s">
        <v>41</v>
      </c>
      <c r="K441" s="140">
        <f>36995.3/1000</f>
        <v>36.9953</v>
      </c>
      <c r="L441" s="2"/>
    </row>
    <row r="442" spans="2:12" ht="50.25" customHeight="1" x14ac:dyDescent="0.25">
      <c r="B442" s="163"/>
      <c r="C442" s="130" t="s">
        <v>43</v>
      </c>
      <c r="D442" s="130" t="s">
        <v>44</v>
      </c>
      <c r="E442" s="130" t="s">
        <v>26</v>
      </c>
      <c r="F442" s="139">
        <f t="shared" ref="F442:F446" si="39">H442</f>
        <v>204.05246</v>
      </c>
      <c r="G442" s="139" t="s">
        <v>45</v>
      </c>
      <c r="H442" s="139">
        <f>204052.46/1000</f>
        <v>204.05246</v>
      </c>
      <c r="I442" s="21">
        <f t="shared" ref="I442" si="40">K442</f>
        <v>204.05246</v>
      </c>
      <c r="J442" s="128" t="s">
        <v>46</v>
      </c>
      <c r="K442" s="129">
        <f>204052.46/1000</f>
        <v>204.05246</v>
      </c>
      <c r="L442" s="2"/>
    </row>
    <row r="443" spans="2:12" ht="33.75" customHeight="1" x14ac:dyDescent="0.25">
      <c r="B443" s="163"/>
      <c r="C443" s="183" t="s">
        <v>63</v>
      </c>
      <c r="D443" s="183"/>
      <c r="E443" s="130" t="s">
        <v>26</v>
      </c>
      <c r="F443" s="139">
        <f t="shared" si="39"/>
        <v>10.3191482519545</v>
      </c>
      <c r="G443" s="130" t="s">
        <v>26</v>
      </c>
      <c r="H443" s="139">
        <v>10.3191482519545</v>
      </c>
      <c r="I443" s="20">
        <f>K443</f>
        <v>10.3191482519545</v>
      </c>
      <c r="J443" s="139" t="s">
        <v>26</v>
      </c>
      <c r="K443" s="24">
        <v>10.3191482519545</v>
      </c>
      <c r="L443" s="2"/>
    </row>
    <row r="444" spans="2:12" ht="33.75" customHeight="1" x14ac:dyDescent="0.25">
      <c r="B444" s="163"/>
      <c r="C444" s="183" t="s">
        <v>64</v>
      </c>
      <c r="D444" s="183"/>
      <c r="E444" s="130" t="s">
        <v>26</v>
      </c>
      <c r="F444" s="139">
        <f t="shared" si="39"/>
        <v>6.4382020000000004</v>
      </c>
      <c r="G444" s="130" t="s">
        <v>26</v>
      </c>
      <c r="H444" s="139">
        <v>6.4382020000000004</v>
      </c>
      <c r="I444" s="20">
        <f>K444</f>
        <v>6.4382020000000004</v>
      </c>
      <c r="J444" s="139" t="s">
        <v>26</v>
      </c>
      <c r="K444" s="24">
        <v>6.4382020000000004</v>
      </c>
      <c r="L444" s="2"/>
    </row>
    <row r="445" spans="2:12" ht="33.75" customHeight="1" x14ac:dyDescent="0.25">
      <c r="B445" s="163"/>
      <c r="C445" s="183" t="s">
        <v>65</v>
      </c>
      <c r="D445" s="183"/>
      <c r="E445" s="130" t="s">
        <v>26</v>
      </c>
      <c r="F445" s="139">
        <f t="shared" si="39"/>
        <v>3.2472699999999999</v>
      </c>
      <c r="G445" s="130" t="s">
        <v>26</v>
      </c>
      <c r="H445" s="139">
        <v>3.2472699999999999</v>
      </c>
      <c r="I445" s="20">
        <f t="shared" ref="I445:I447" si="41">K445</f>
        <v>3.2472699999999999</v>
      </c>
      <c r="J445" s="139" t="s">
        <v>26</v>
      </c>
      <c r="K445" s="140">
        <v>3.2472699999999999</v>
      </c>
      <c r="L445" s="2"/>
    </row>
    <row r="446" spans="2:12" ht="33.75" customHeight="1" x14ac:dyDescent="0.25">
      <c r="B446" s="163"/>
      <c r="C446" s="183" t="s">
        <v>66</v>
      </c>
      <c r="D446" s="183"/>
      <c r="E446" s="130" t="s">
        <v>26</v>
      </c>
      <c r="F446" s="139">
        <f t="shared" si="39"/>
        <v>3.2770700000000001</v>
      </c>
      <c r="G446" s="130" t="s">
        <v>26</v>
      </c>
      <c r="H446" s="139">
        <f>3277.07/1000</f>
        <v>3.2770700000000001</v>
      </c>
      <c r="I446" s="20">
        <f t="shared" si="41"/>
        <v>3.2770700000000001</v>
      </c>
      <c r="J446" s="139" t="s">
        <v>26</v>
      </c>
      <c r="K446" s="140">
        <f>3277.07/1000</f>
        <v>3.2770700000000001</v>
      </c>
      <c r="L446" s="2"/>
    </row>
    <row r="447" spans="2:12" ht="33.75" customHeight="1" thickBot="1" x14ac:dyDescent="0.3">
      <c r="B447" s="151"/>
      <c r="C447" s="181" t="s">
        <v>67</v>
      </c>
      <c r="D447" s="182"/>
      <c r="E447" s="136" t="s">
        <v>26</v>
      </c>
      <c r="F447" s="137">
        <f>H447</f>
        <v>18.149810000000002</v>
      </c>
      <c r="G447" s="136" t="s">
        <v>26</v>
      </c>
      <c r="H447" s="137">
        <f>18149.81/1000</f>
        <v>18.149810000000002</v>
      </c>
      <c r="I447" s="147">
        <f t="shared" si="41"/>
        <v>18.149810000000002</v>
      </c>
      <c r="J447" s="136" t="s">
        <v>26</v>
      </c>
      <c r="K447" s="144">
        <f>H447</f>
        <v>18.149810000000002</v>
      </c>
      <c r="L447" s="2"/>
    </row>
    <row r="448" spans="2:12" ht="33.75" customHeight="1" x14ac:dyDescent="0.25">
      <c r="B448" s="150" t="s">
        <v>498</v>
      </c>
      <c r="C448" s="160" t="s">
        <v>72</v>
      </c>
      <c r="D448" s="160" t="s">
        <v>499</v>
      </c>
      <c r="E448" s="173">
        <f>4150000/1000</f>
        <v>4150</v>
      </c>
      <c r="F448" s="176">
        <f>H448+H449+H450</f>
        <v>4150</v>
      </c>
      <c r="G448" s="160" t="s">
        <v>500</v>
      </c>
      <c r="H448" s="155">
        <f>2905000/1000</f>
        <v>2905</v>
      </c>
      <c r="I448" s="157">
        <f>K448</f>
        <v>4150</v>
      </c>
      <c r="J448" s="160" t="s">
        <v>501</v>
      </c>
      <c r="K448" s="185">
        <f>4150000/1000</f>
        <v>4150</v>
      </c>
      <c r="L448" s="2"/>
    </row>
    <row r="449" spans="2:12" ht="33.75" customHeight="1" x14ac:dyDescent="0.25">
      <c r="B449" s="163"/>
      <c r="C449" s="161"/>
      <c r="D449" s="161"/>
      <c r="E449" s="174"/>
      <c r="F449" s="177"/>
      <c r="G449" s="165"/>
      <c r="H449" s="156"/>
      <c r="I449" s="158"/>
      <c r="J449" s="161"/>
      <c r="K449" s="186"/>
      <c r="L449" s="2"/>
    </row>
    <row r="450" spans="2:12" ht="33.75" customHeight="1" thickBot="1" x14ac:dyDescent="0.3">
      <c r="B450" s="151"/>
      <c r="C450" s="162"/>
      <c r="D450" s="162"/>
      <c r="E450" s="175"/>
      <c r="F450" s="178"/>
      <c r="G450" s="38" t="s">
        <v>502</v>
      </c>
      <c r="H450" s="40">
        <f>1245000/1000</f>
        <v>1245</v>
      </c>
      <c r="I450" s="159"/>
      <c r="J450" s="162"/>
      <c r="K450" s="187"/>
      <c r="L450" s="2"/>
    </row>
    <row r="451" spans="2:12" ht="63" customHeight="1" thickBot="1" x14ac:dyDescent="0.3">
      <c r="B451" s="96" t="s">
        <v>503</v>
      </c>
      <c r="C451" s="29" t="s">
        <v>504</v>
      </c>
      <c r="D451" s="29" t="s">
        <v>505</v>
      </c>
      <c r="E451" s="30">
        <v>81.283539999999988</v>
      </c>
      <c r="F451" s="30">
        <f t="shared" si="32"/>
        <v>81.283539999999988</v>
      </c>
      <c r="G451" s="29" t="s">
        <v>506</v>
      </c>
      <c r="H451" s="30">
        <v>81.283539999999988</v>
      </c>
      <c r="I451" s="30" t="s">
        <v>26</v>
      </c>
      <c r="J451" s="29" t="s">
        <v>26</v>
      </c>
      <c r="K451" s="51" t="s">
        <v>26</v>
      </c>
      <c r="L451" s="2"/>
    </row>
    <row r="452" spans="2:12" ht="51.75" customHeight="1" x14ac:dyDescent="0.25">
      <c r="B452" s="150" t="s">
        <v>507</v>
      </c>
      <c r="C452" s="34" t="s">
        <v>43</v>
      </c>
      <c r="D452" s="34" t="s">
        <v>44</v>
      </c>
      <c r="E452" s="35" t="s">
        <v>26</v>
      </c>
      <c r="F452" s="35">
        <f t="shared" si="32"/>
        <v>90.999600000000001</v>
      </c>
      <c r="G452" s="35" t="s">
        <v>508</v>
      </c>
      <c r="H452" s="35">
        <v>90.999600000000001</v>
      </c>
      <c r="I452" s="43">
        <f>K452</f>
        <v>90.999600000000001</v>
      </c>
      <c r="J452" s="9" t="s">
        <v>509</v>
      </c>
      <c r="K452" s="97">
        <v>90.999600000000001</v>
      </c>
      <c r="L452" s="2"/>
    </row>
    <row r="453" spans="2:12" ht="45" customHeight="1" x14ac:dyDescent="0.25">
      <c r="B453" s="163"/>
      <c r="C453" s="164" t="s">
        <v>510</v>
      </c>
      <c r="D453" s="153" t="s">
        <v>511</v>
      </c>
      <c r="E453" s="168">
        <f>818000.8/1000</f>
        <v>818.00080000000003</v>
      </c>
      <c r="F453" s="168">
        <f>H453+H454+H455</f>
        <v>787.70029999999997</v>
      </c>
      <c r="G453" s="12" t="s">
        <v>512</v>
      </c>
      <c r="H453" s="12">
        <f>100000/1000</f>
        <v>100</v>
      </c>
      <c r="I453" s="170">
        <f>K454</f>
        <v>787.70030000000008</v>
      </c>
      <c r="J453" s="26"/>
      <c r="K453" s="16"/>
      <c r="L453" s="2"/>
    </row>
    <row r="454" spans="2:12" ht="45" customHeight="1" x14ac:dyDescent="0.25">
      <c r="B454" s="163"/>
      <c r="C454" s="161"/>
      <c r="D454" s="166"/>
      <c r="E454" s="169"/>
      <c r="F454" s="169"/>
      <c r="G454" s="12" t="s">
        <v>513</v>
      </c>
      <c r="H454" s="12">
        <f>300000/1000</f>
        <v>300</v>
      </c>
      <c r="I454" s="171"/>
      <c r="J454" s="37" t="s">
        <v>514</v>
      </c>
      <c r="K454" s="60">
        <f>787700.3/1000</f>
        <v>787.70030000000008</v>
      </c>
      <c r="L454" s="2"/>
    </row>
    <row r="455" spans="2:12" ht="45" customHeight="1" x14ac:dyDescent="0.25">
      <c r="B455" s="163"/>
      <c r="C455" s="165"/>
      <c r="D455" s="167"/>
      <c r="E455" s="156"/>
      <c r="F455" s="156"/>
      <c r="G455" s="37" t="s">
        <v>515</v>
      </c>
      <c r="H455" s="12">
        <f>387700.3/1000</f>
        <v>387.70029999999997</v>
      </c>
      <c r="I455" s="172"/>
      <c r="J455" s="14"/>
      <c r="K455" s="19"/>
      <c r="L455" s="2"/>
    </row>
    <row r="456" spans="2:12" ht="51.75" customHeight="1" x14ac:dyDescent="0.25">
      <c r="B456" s="163"/>
      <c r="C456" s="179" t="s">
        <v>65</v>
      </c>
      <c r="D456" s="180"/>
      <c r="E456" s="11" t="s">
        <v>26</v>
      </c>
      <c r="F456" s="12">
        <f t="shared" ref="F456:F457" si="42">H456</f>
        <v>7.9875100000000003</v>
      </c>
      <c r="G456" s="11" t="s">
        <v>26</v>
      </c>
      <c r="H456" s="14">
        <v>7.9875100000000003</v>
      </c>
      <c r="I456" s="20">
        <f>K456</f>
        <v>7.9875100000000003</v>
      </c>
      <c r="J456" s="14" t="s">
        <v>26</v>
      </c>
      <c r="K456" s="19">
        <v>7.9875100000000003</v>
      </c>
      <c r="L456" s="2"/>
    </row>
    <row r="457" spans="2:12" ht="51.75" customHeight="1" thickBot="1" x14ac:dyDescent="0.3">
      <c r="B457" s="151"/>
      <c r="C457" s="181" t="s">
        <v>353</v>
      </c>
      <c r="D457" s="182"/>
      <c r="E457" s="38" t="s">
        <v>26</v>
      </c>
      <c r="F457" s="39">
        <f t="shared" si="42"/>
        <v>70.16892</v>
      </c>
      <c r="G457" s="38" t="s">
        <v>26</v>
      </c>
      <c r="H457" s="30">
        <f>70168.92/1000</f>
        <v>70.16892</v>
      </c>
      <c r="I457" s="98">
        <f>K457</f>
        <v>70.16892</v>
      </c>
      <c r="J457" s="39" t="s">
        <v>26</v>
      </c>
      <c r="K457" s="55">
        <f>70168.92/1000</f>
        <v>70.16892</v>
      </c>
      <c r="L457" s="2"/>
    </row>
    <row r="458" spans="2:12" ht="78" customHeight="1" x14ac:dyDescent="0.25">
      <c r="B458" s="150" t="s">
        <v>516</v>
      </c>
      <c r="C458" s="63" t="s">
        <v>517</v>
      </c>
      <c r="D458" s="63" t="s">
        <v>518</v>
      </c>
      <c r="E458" s="37">
        <v>109.64413999999999</v>
      </c>
      <c r="F458" s="14">
        <f>H458</f>
        <v>109.64413999999999</v>
      </c>
      <c r="G458" s="13" t="s">
        <v>519</v>
      </c>
      <c r="H458" s="14">
        <v>109.64413999999999</v>
      </c>
      <c r="I458" s="37">
        <f>K458</f>
        <v>109.64413999999999</v>
      </c>
      <c r="J458" s="63" t="s">
        <v>520</v>
      </c>
      <c r="K458" s="60">
        <v>109.64413999999999</v>
      </c>
      <c r="L458" s="2"/>
    </row>
    <row r="459" spans="2:12" ht="46.5" customHeight="1" thickBot="1" x14ac:dyDescent="0.3">
      <c r="B459" s="151"/>
      <c r="C459" s="152" t="s">
        <v>352</v>
      </c>
      <c r="D459" s="153"/>
      <c r="E459" s="23" t="s">
        <v>26</v>
      </c>
      <c r="F459" s="26">
        <f t="shared" ref="F459" si="43">H459</f>
        <v>11.190736468218899</v>
      </c>
      <c r="G459" s="23" t="s">
        <v>26</v>
      </c>
      <c r="H459" s="12">
        <v>11.190736468218899</v>
      </c>
      <c r="I459" s="27">
        <f>K459</f>
        <v>11.190736468218899</v>
      </c>
      <c r="J459" s="26" t="s">
        <v>26</v>
      </c>
      <c r="K459" s="28">
        <v>11.190736468218899</v>
      </c>
      <c r="L459" s="2"/>
    </row>
    <row r="460" spans="2:12" ht="16.5" thickBot="1" x14ac:dyDescent="0.3">
      <c r="B460" s="154" t="s">
        <v>521</v>
      </c>
      <c r="C460" s="154"/>
      <c r="D460" s="154"/>
      <c r="E460" s="154"/>
      <c r="F460" s="99">
        <f>SUM(F210:F459)</f>
        <v>302707.0886533861</v>
      </c>
      <c r="G460" s="100"/>
      <c r="H460" s="99">
        <f>SUM(H210:H459)</f>
        <v>302707.08865338622</v>
      </c>
      <c r="I460" s="99">
        <f>SUM(I210:I459)</f>
        <v>323984.55220332812</v>
      </c>
      <c r="J460" s="100"/>
      <c r="K460" s="99">
        <f>SUM(K210:K459)</f>
        <v>323984.55220332794</v>
      </c>
      <c r="L460" s="2"/>
    </row>
    <row r="461" spans="2:12" ht="35.25" customHeight="1" thickBot="1" x14ac:dyDescent="0.3">
      <c r="B461" s="154" t="s">
        <v>522</v>
      </c>
      <c r="C461" s="154"/>
      <c r="D461" s="154"/>
      <c r="E461" s="154"/>
      <c r="F461" s="99">
        <f>F208+F460</f>
        <v>534658.48893721611</v>
      </c>
      <c r="G461" s="100"/>
      <c r="H461" s="99">
        <f>H208+H460</f>
        <v>534658.48893721623</v>
      </c>
      <c r="I461" s="99">
        <f>I208+I460</f>
        <v>475002.67809768161</v>
      </c>
      <c r="J461" s="100"/>
      <c r="K461" s="99">
        <f>K208+K460</f>
        <v>475002.67809768149</v>
      </c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ht="15.75" x14ac:dyDescent="0.25">
      <c r="B464" s="118" t="s">
        <v>525</v>
      </c>
      <c r="C464" s="119"/>
      <c r="D464" s="119"/>
      <c r="E464" s="2"/>
      <c r="F464" s="2"/>
      <c r="G464" s="2"/>
      <c r="H464" s="2"/>
      <c r="I464" s="2"/>
      <c r="J464" s="2"/>
      <c r="K464" s="2"/>
      <c r="L464" s="2"/>
    </row>
    <row r="465" spans="2:12" ht="15.75" x14ac:dyDescent="0.25">
      <c r="B465" s="239" t="s">
        <v>526</v>
      </c>
      <c r="C465" s="239"/>
      <c r="D465" s="239"/>
      <c r="E465" s="2"/>
      <c r="F465" s="2"/>
      <c r="G465" s="2"/>
      <c r="H465" s="2"/>
      <c r="I465" s="2"/>
      <c r="J465" s="2"/>
      <c r="K465" s="2"/>
      <c r="L465" s="2"/>
    </row>
    <row r="466" spans="2:12" ht="15.75" x14ac:dyDescent="0.25">
      <c r="B466" s="118"/>
      <c r="C466" s="118"/>
      <c r="D466" s="119"/>
    </row>
    <row r="467" spans="2:12" ht="15.75" x14ac:dyDescent="0.25">
      <c r="B467" s="120" t="s">
        <v>527</v>
      </c>
      <c r="C467" s="121" t="s">
        <v>528</v>
      </c>
      <c r="D467" s="121" t="s">
        <v>529</v>
      </c>
    </row>
    <row r="468" spans="2:12" ht="45" x14ac:dyDescent="0.25">
      <c r="B468" s="122" t="s">
        <v>544</v>
      </c>
      <c r="C468" s="123">
        <v>475002.68105088407</v>
      </c>
      <c r="D468" s="123">
        <v>534658.48995429871</v>
      </c>
    </row>
    <row r="469" spans="2:12" x14ac:dyDescent="0.25">
      <c r="B469" s="122" t="s">
        <v>531</v>
      </c>
      <c r="C469" s="123">
        <v>845163.31035399996</v>
      </c>
      <c r="D469" s="123">
        <v>845163.31035399996</v>
      </c>
    </row>
    <row r="470" spans="2:12" x14ac:dyDescent="0.25">
      <c r="B470" s="122" t="s">
        <v>532</v>
      </c>
      <c r="C470" s="123">
        <v>442007.54310200003</v>
      </c>
      <c r="D470" s="123">
        <v>442007.54310200003</v>
      </c>
    </row>
    <row r="471" spans="2:12" ht="45" x14ac:dyDescent="0.25">
      <c r="B471" s="122" t="s">
        <v>533</v>
      </c>
      <c r="C471" s="123">
        <v>159.33131</v>
      </c>
      <c r="D471" s="123">
        <v>159.33131</v>
      </c>
    </row>
    <row r="472" spans="2:12" x14ac:dyDescent="0.25">
      <c r="B472" s="122" t="s">
        <v>534</v>
      </c>
      <c r="C472" s="123">
        <v>76119.983070518487</v>
      </c>
      <c r="D472" s="123">
        <v>78103.426519674482</v>
      </c>
    </row>
    <row r="473" spans="2:12" x14ac:dyDescent="0.25">
      <c r="B473" s="122" t="s">
        <v>535</v>
      </c>
      <c r="C473" s="123">
        <v>11244.99539</v>
      </c>
      <c r="D473" s="123">
        <v>11244.995389999991</v>
      </c>
    </row>
    <row r="474" spans="2:12" x14ac:dyDescent="0.25">
      <c r="B474" s="122" t="s">
        <v>536</v>
      </c>
      <c r="C474" s="123">
        <v>55210.636183718474</v>
      </c>
      <c r="D474" s="123">
        <v>57180.330359674481</v>
      </c>
    </row>
    <row r="475" spans="2:12" ht="60" x14ac:dyDescent="0.25">
      <c r="B475" s="122" t="s">
        <v>538</v>
      </c>
      <c r="C475" s="123">
        <v>268573.20176681993</v>
      </c>
      <c r="D475" s="123">
        <v>261740.4481559181</v>
      </c>
    </row>
    <row r="476" spans="2:12" x14ac:dyDescent="0.25">
      <c r="B476" s="122" t="s">
        <v>539</v>
      </c>
      <c r="C476" s="123">
        <v>25389.287042901786</v>
      </c>
      <c r="D476" s="123">
        <v>24785.429350999195</v>
      </c>
    </row>
    <row r="477" spans="2:12" x14ac:dyDescent="0.25">
      <c r="B477" s="122" t="s">
        <v>540</v>
      </c>
      <c r="C477" s="123">
        <f>C478-C479</f>
        <v>28227.026926719242</v>
      </c>
      <c r="D477" s="123">
        <f>D478-D479</f>
        <v>29439.73527816611</v>
      </c>
    </row>
    <row r="478" spans="2:12" ht="30" x14ac:dyDescent="0.25">
      <c r="B478" s="122" t="s">
        <v>541</v>
      </c>
      <c r="C478" s="123">
        <v>69195.820416573129</v>
      </c>
      <c r="D478" s="123">
        <v>65880.869189807068</v>
      </c>
    </row>
    <row r="479" spans="2:12" x14ac:dyDescent="0.25">
      <c r="B479" s="122" t="s">
        <v>542</v>
      </c>
      <c r="C479" s="123">
        <v>40968.793489853888</v>
      </c>
      <c r="D479" s="123">
        <v>36441.133911640958</v>
      </c>
    </row>
    <row r="482" spans="2:5" ht="18.75" x14ac:dyDescent="0.3">
      <c r="B482" s="268" t="s">
        <v>547</v>
      </c>
      <c r="C482" s="268"/>
      <c r="D482" s="268"/>
      <c r="E482" s="268"/>
    </row>
    <row r="483" spans="2:5" ht="18.75" x14ac:dyDescent="0.3">
      <c r="B483" s="269"/>
      <c r="C483" s="269"/>
      <c r="D483" s="269"/>
      <c r="E483" s="269"/>
    </row>
    <row r="484" spans="2:5" ht="18.75" x14ac:dyDescent="0.3">
      <c r="B484" s="268" t="s">
        <v>546</v>
      </c>
      <c r="C484" s="268"/>
      <c r="D484" s="268"/>
      <c r="E484" s="269" t="s">
        <v>545</v>
      </c>
    </row>
  </sheetData>
  <mergeCells count="402">
    <mergeCell ref="B482:E482"/>
    <mergeCell ref="B484:D484"/>
    <mergeCell ref="B465:D465"/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D14:D20"/>
    <mergeCell ref="E14:E20"/>
    <mergeCell ref="F14:F20"/>
    <mergeCell ref="I14:I20"/>
    <mergeCell ref="C23:D23"/>
    <mergeCell ref="C24:D24"/>
    <mergeCell ref="B8:K8"/>
    <mergeCell ref="B9:B41"/>
    <mergeCell ref="C9:C13"/>
    <mergeCell ref="D9:D13"/>
    <mergeCell ref="E9:E13"/>
    <mergeCell ref="F9:F13"/>
    <mergeCell ref="I9:I13"/>
    <mergeCell ref="J9:J10"/>
    <mergeCell ref="K9:K10"/>
    <mergeCell ref="C14:C20"/>
    <mergeCell ref="C31:D31"/>
    <mergeCell ref="C32:D32"/>
    <mergeCell ref="C33:D33"/>
    <mergeCell ref="C34:D34"/>
    <mergeCell ref="C35:D35"/>
    <mergeCell ref="C36:D36"/>
    <mergeCell ref="C25:D25"/>
    <mergeCell ref="C26:D26"/>
    <mergeCell ref="C27:D27"/>
    <mergeCell ref="C28:D28"/>
    <mergeCell ref="C29:D29"/>
    <mergeCell ref="C30:D30"/>
    <mergeCell ref="C43:D43"/>
    <mergeCell ref="B44:K44"/>
    <mergeCell ref="B45:B46"/>
    <mergeCell ref="C46:D46"/>
    <mergeCell ref="B47:B49"/>
    <mergeCell ref="C49:D49"/>
    <mergeCell ref="C37:D37"/>
    <mergeCell ref="C38:D38"/>
    <mergeCell ref="C39:D39"/>
    <mergeCell ref="C40:D40"/>
    <mergeCell ref="C41:D41"/>
    <mergeCell ref="B42:K42"/>
    <mergeCell ref="B50:K50"/>
    <mergeCell ref="B51:B52"/>
    <mergeCell ref="C51:D51"/>
    <mergeCell ref="B53:B54"/>
    <mergeCell ref="C54:D54"/>
    <mergeCell ref="B57:B65"/>
    <mergeCell ref="C57:C58"/>
    <mergeCell ref="D57:D58"/>
    <mergeCell ref="E57:E58"/>
    <mergeCell ref="F57:F58"/>
    <mergeCell ref="B68:K68"/>
    <mergeCell ref="B69:B78"/>
    <mergeCell ref="C69:C78"/>
    <mergeCell ref="D69:D78"/>
    <mergeCell ref="E69:E78"/>
    <mergeCell ref="F69:F78"/>
    <mergeCell ref="I57:I58"/>
    <mergeCell ref="C63:D63"/>
    <mergeCell ref="C64:D64"/>
    <mergeCell ref="C65:D65"/>
    <mergeCell ref="B66:B67"/>
    <mergeCell ref="C67:D67"/>
    <mergeCell ref="E102:E109"/>
    <mergeCell ref="F102:F109"/>
    <mergeCell ref="B110:B121"/>
    <mergeCell ref="C111:D111"/>
    <mergeCell ref="C112:D112"/>
    <mergeCell ref="C113:D113"/>
    <mergeCell ref="C114:D114"/>
    <mergeCell ref="B79:B91"/>
    <mergeCell ref="C79:C89"/>
    <mergeCell ref="D79:D89"/>
    <mergeCell ref="E79:E89"/>
    <mergeCell ref="F79:F89"/>
    <mergeCell ref="B92:B101"/>
    <mergeCell ref="C92:C101"/>
    <mergeCell ref="D92:D101"/>
    <mergeCell ref="E92:E101"/>
    <mergeCell ref="F92:F101"/>
    <mergeCell ref="C115:D115"/>
    <mergeCell ref="C116:D116"/>
    <mergeCell ref="C117:D117"/>
    <mergeCell ref="C118:D118"/>
    <mergeCell ref="C119:D119"/>
    <mergeCell ref="C120:D120"/>
    <mergeCell ref="B102:B109"/>
    <mergeCell ref="C102:C109"/>
    <mergeCell ref="D102:D109"/>
    <mergeCell ref="C121:D121"/>
    <mergeCell ref="B122:B134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42:D142"/>
    <mergeCell ref="C143:D143"/>
    <mergeCell ref="C144:D144"/>
    <mergeCell ref="C145:D145"/>
    <mergeCell ref="C146:D146"/>
    <mergeCell ref="B149:K149"/>
    <mergeCell ref="C132:D132"/>
    <mergeCell ref="C133:D133"/>
    <mergeCell ref="C134:D134"/>
    <mergeCell ref="B135:B146"/>
    <mergeCell ref="C136:D136"/>
    <mergeCell ref="C137:D137"/>
    <mergeCell ref="C138:D138"/>
    <mergeCell ref="C139:D139"/>
    <mergeCell ref="C140:D140"/>
    <mergeCell ref="C141:D141"/>
    <mergeCell ref="I156:I161"/>
    <mergeCell ref="J156:J158"/>
    <mergeCell ref="K156:K158"/>
    <mergeCell ref="J159:J161"/>
    <mergeCell ref="K159:K161"/>
    <mergeCell ref="C162:D162"/>
    <mergeCell ref="C150:D150"/>
    <mergeCell ref="B152:B198"/>
    <mergeCell ref="C153:C154"/>
    <mergeCell ref="D153:D154"/>
    <mergeCell ref="E153:E154"/>
    <mergeCell ref="F153:F154"/>
    <mergeCell ref="C156:C161"/>
    <mergeCell ref="D156:D161"/>
    <mergeCell ref="E156:E161"/>
    <mergeCell ref="F156:F161"/>
    <mergeCell ref="C168:C169"/>
    <mergeCell ref="D168:D169"/>
    <mergeCell ref="E168:E169"/>
    <mergeCell ref="F168:F169"/>
    <mergeCell ref="I168:I169"/>
    <mergeCell ref="C171:C174"/>
    <mergeCell ref="D171:D174"/>
    <mergeCell ref="E171:E174"/>
    <mergeCell ref="I171:I174"/>
    <mergeCell ref="C177:C178"/>
    <mergeCell ref="D177:D178"/>
    <mergeCell ref="E177:E178"/>
    <mergeCell ref="I177:I178"/>
    <mergeCell ref="B200:B201"/>
    <mergeCell ref="C201:D201"/>
    <mergeCell ref="B202:B203"/>
    <mergeCell ref="C203:D203"/>
    <mergeCell ref="F171:F174"/>
    <mergeCell ref="G171:G174"/>
    <mergeCell ref="C180:D180"/>
    <mergeCell ref="C181:C183"/>
    <mergeCell ref="D181:D183"/>
    <mergeCell ref="E181:E183"/>
    <mergeCell ref="F181:F183"/>
    <mergeCell ref="G181:G183"/>
    <mergeCell ref="H171:H174"/>
    <mergeCell ref="B204:B207"/>
    <mergeCell ref="C206:D206"/>
    <mergeCell ref="C207:D207"/>
    <mergeCell ref="H181:H183"/>
    <mergeCell ref="I181:I183"/>
    <mergeCell ref="C184:D184"/>
    <mergeCell ref="C195:D195"/>
    <mergeCell ref="C198:D198"/>
    <mergeCell ref="B199:K199"/>
    <mergeCell ref="B208:E208"/>
    <mergeCell ref="B209:K209"/>
    <mergeCell ref="B210:B287"/>
    <mergeCell ref="C212:D212"/>
    <mergeCell ref="C213:C235"/>
    <mergeCell ref="D213:D235"/>
    <mergeCell ref="E213:E235"/>
    <mergeCell ref="F213:F235"/>
    <mergeCell ref="I213:I235"/>
    <mergeCell ref="J216:J217"/>
    <mergeCell ref="G224:G225"/>
    <mergeCell ref="H224:H225"/>
    <mergeCell ref="J224:J225"/>
    <mergeCell ref="K224:K225"/>
    <mergeCell ref="J229:J231"/>
    <mergeCell ref="K229:K231"/>
    <mergeCell ref="K216:K217"/>
    <mergeCell ref="J218:J219"/>
    <mergeCell ref="K218:K219"/>
    <mergeCell ref="J220:J221"/>
    <mergeCell ref="K220:K221"/>
    <mergeCell ref="J222:J223"/>
    <mergeCell ref="K222:K223"/>
    <mergeCell ref="F244:F252"/>
    <mergeCell ref="I244:I252"/>
    <mergeCell ref="C253:D253"/>
    <mergeCell ref="C236:C238"/>
    <mergeCell ref="D236:D238"/>
    <mergeCell ref="E236:E238"/>
    <mergeCell ref="F236:F238"/>
    <mergeCell ref="I236:I238"/>
    <mergeCell ref="C240:C241"/>
    <mergeCell ref="D240:D241"/>
    <mergeCell ref="E240:E241"/>
    <mergeCell ref="F240:F241"/>
    <mergeCell ref="I240:I241"/>
    <mergeCell ref="C254:D254"/>
    <mergeCell ref="C255:D255"/>
    <mergeCell ref="C256:D256"/>
    <mergeCell ref="C257:D257"/>
    <mergeCell ref="C258:D258"/>
    <mergeCell ref="C259:D259"/>
    <mergeCell ref="C244:C252"/>
    <mergeCell ref="D244:D252"/>
    <mergeCell ref="E244:E252"/>
    <mergeCell ref="C266:D266"/>
    <mergeCell ref="C267:D267"/>
    <mergeCell ref="C268:D268"/>
    <mergeCell ref="C269:D269"/>
    <mergeCell ref="C270:D270"/>
    <mergeCell ref="C271:D271"/>
    <mergeCell ref="C260:D260"/>
    <mergeCell ref="C261:D261"/>
    <mergeCell ref="C262:D262"/>
    <mergeCell ref="C263:D263"/>
    <mergeCell ref="C264:D264"/>
    <mergeCell ref="C265:D265"/>
    <mergeCell ref="C278:D278"/>
    <mergeCell ref="C279:D279"/>
    <mergeCell ref="C280:D280"/>
    <mergeCell ref="C281:D281"/>
    <mergeCell ref="C282:D282"/>
    <mergeCell ref="C283:D283"/>
    <mergeCell ref="C272:D272"/>
    <mergeCell ref="C273:D273"/>
    <mergeCell ref="C274:D274"/>
    <mergeCell ref="C275:D275"/>
    <mergeCell ref="C276:D276"/>
    <mergeCell ref="C277:D277"/>
    <mergeCell ref="C284:D284"/>
    <mergeCell ref="C285:D285"/>
    <mergeCell ref="C286:D286"/>
    <mergeCell ref="C287:D287"/>
    <mergeCell ref="B288:B294"/>
    <mergeCell ref="C289:D289"/>
    <mergeCell ref="C290:D290"/>
    <mergeCell ref="C291:D291"/>
    <mergeCell ref="C292:D292"/>
    <mergeCell ref="C293:D293"/>
    <mergeCell ref="C294:D294"/>
    <mergeCell ref="B295:B330"/>
    <mergeCell ref="C298:D298"/>
    <mergeCell ref="C301:C302"/>
    <mergeCell ref="D301:D302"/>
    <mergeCell ref="E301:E302"/>
    <mergeCell ref="C317:C318"/>
    <mergeCell ref="D317:D318"/>
    <mergeCell ref="E317:E318"/>
    <mergeCell ref="C324:D324"/>
    <mergeCell ref="C325:D325"/>
    <mergeCell ref="C326:D326"/>
    <mergeCell ref="C327:D327"/>
    <mergeCell ref="C328:D328"/>
    <mergeCell ref="J312:J313"/>
    <mergeCell ref="K312:K313"/>
    <mergeCell ref="C314:C316"/>
    <mergeCell ref="D314:D316"/>
    <mergeCell ref="E314:E316"/>
    <mergeCell ref="F314:F316"/>
    <mergeCell ref="I314:I316"/>
    <mergeCell ref="F301:F302"/>
    <mergeCell ref="I301:I302"/>
    <mergeCell ref="C303:D303"/>
    <mergeCell ref="C307:D307"/>
    <mergeCell ref="C312:C313"/>
    <mergeCell ref="D312:D313"/>
    <mergeCell ref="E312:E313"/>
    <mergeCell ref="F312:F313"/>
    <mergeCell ref="I312:I313"/>
    <mergeCell ref="C399:D399"/>
    <mergeCell ref="C400:D400"/>
    <mergeCell ref="C401:D401"/>
    <mergeCell ref="C402:D402"/>
    <mergeCell ref="C403:D403"/>
    <mergeCell ref="F317:F318"/>
    <mergeCell ref="I317:I318"/>
    <mergeCell ref="J317:J318"/>
    <mergeCell ref="K317:K318"/>
    <mergeCell ref="C321:D321"/>
    <mergeCell ref="C323:D323"/>
    <mergeCell ref="C392:D392"/>
    <mergeCell ref="E333:E359"/>
    <mergeCell ref="F333:F359"/>
    <mergeCell ref="I333:I359"/>
    <mergeCell ref="G336:G359"/>
    <mergeCell ref="H336:H359"/>
    <mergeCell ref="C360:C367"/>
    <mergeCell ref="D360:D367"/>
    <mergeCell ref="E360:E367"/>
    <mergeCell ref="F360:F367"/>
    <mergeCell ref="G360:G367"/>
    <mergeCell ref="E385:E386"/>
    <mergeCell ref="F385:F386"/>
    <mergeCell ref="I385:I390"/>
    <mergeCell ref="J385:J390"/>
    <mergeCell ref="K385:K390"/>
    <mergeCell ref="C391:D391"/>
    <mergeCell ref="H360:H367"/>
    <mergeCell ref="I360:I367"/>
    <mergeCell ref="C368:D368"/>
    <mergeCell ref="C369:D369"/>
    <mergeCell ref="C370:D370"/>
    <mergeCell ref="C373:C381"/>
    <mergeCell ref="D373:D381"/>
    <mergeCell ref="E373:E381"/>
    <mergeCell ref="F373:F381"/>
    <mergeCell ref="I373:I381"/>
    <mergeCell ref="C385:C386"/>
    <mergeCell ref="D385:D386"/>
    <mergeCell ref="C404:D404"/>
    <mergeCell ref="C393:D393"/>
    <mergeCell ref="C394:D394"/>
    <mergeCell ref="C395:D395"/>
    <mergeCell ref="C396:D396"/>
    <mergeCell ref="C397:D397"/>
    <mergeCell ref="C398:D398"/>
    <mergeCell ref="B422:B423"/>
    <mergeCell ref="C423:D423"/>
    <mergeCell ref="C411:D411"/>
    <mergeCell ref="C412:D412"/>
    <mergeCell ref="C413:D413"/>
    <mergeCell ref="C414:D414"/>
    <mergeCell ref="C415:D415"/>
    <mergeCell ref="C416:D416"/>
    <mergeCell ref="C405:D405"/>
    <mergeCell ref="C406:D406"/>
    <mergeCell ref="C407:D407"/>
    <mergeCell ref="C408:D408"/>
    <mergeCell ref="C409:D409"/>
    <mergeCell ref="C410:D410"/>
    <mergeCell ref="B331:B421"/>
    <mergeCell ref="C333:C359"/>
    <mergeCell ref="D333:D359"/>
    <mergeCell ref="F425:F429"/>
    <mergeCell ref="I425:I429"/>
    <mergeCell ref="G426:G429"/>
    <mergeCell ref="H426:H429"/>
    <mergeCell ref="C430:D430"/>
    <mergeCell ref="C431:D431"/>
    <mergeCell ref="C417:D417"/>
    <mergeCell ref="C418:D418"/>
    <mergeCell ref="C419:D419"/>
    <mergeCell ref="C420:D420"/>
    <mergeCell ref="C421:D421"/>
    <mergeCell ref="B435:B447"/>
    <mergeCell ref="C435:C441"/>
    <mergeCell ref="D435:D441"/>
    <mergeCell ref="C446:D446"/>
    <mergeCell ref="C447:D447"/>
    <mergeCell ref="B424:B434"/>
    <mergeCell ref="C425:C429"/>
    <mergeCell ref="D425:D429"/>
    <mergeCell ref="E425:E429"/>
    <mergeCell ref="E435:E441"/>
    <mergeCell ref="F435:F441"/>
    <mergeCell ref="I435:I441"/>
    <mergeCell ref="C443:D443"/>
    <mergeCell ref="C444:D444"/>
    <mergeCell ref="C445:D445"/>
    <mergeCell ref="C432:D432"/>
    <mergeCell ref="C433:D433"/>
    <mergeCell ref="C434:D434"/>
    <mergeCell ref="K448:K450"/>
    <mergeCell ref="B458:B459"/>
    <mergeCell ref="C459:D459"/>
    <mergeCell ref="B460:E460"/>
    <mergeCell ref="B461:E461"/>
    <mergeCell ref="H448:H449"/>
    <mergeCell ref="I448:I450"/>
    <mergeCell ref="J448:J450"/>
    <mergeCell ref="B452:B457"/>
    <mergeCell ref="C453:C455"/>
    <mergeCell ref="D453:D455"/>
    <mergeCell ref="E453:E455"/>
    <mergeCell ref="F453:F455"/>
    <mergeCell ref="I453:I455"/>
    <mergeCell ref="B448:B450"/>
    <mergeCell ref="C448:C450"/>
    <mergeCell ref="D448:D450"/>
    <mergeCell ref="E448:E450"/>
    <mergeCell ref="F448:F450"/>
    <mergeCell ref="G448:G449"/>
    <mergeCell ref="C456:D456"/>
    <mergeCell ref="C457:D457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Страница  &amp;P из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127"/>
  <sheetViews>
    <sheetView topLeftCell="A105" zoomScale="60" zoomScaleNormal="60" workbookViewId="0">
      <selection activeCell="D136" sqref="D136"/>
    </sheetView>
  </sheetViews>
  <sheetFormatPr defaultRowHeight="15" x14ac:dyDescent="0.25"/>
  <cols>
    <col min="1" max="1" width="9.140625" style="3"/>
    <col min="2" max="2" width="48" style="3" customWidth="1"/>
    <col min="3" max="3" width="19.85546875" style="3" customWidth="1"/>
    <col min="4" max="4" width="14.28515625" style="3" customWidth="1"/>
    <col min="5" max="5" width="17.42578125" style="3" customWidth="1"/>
    <col min="6" max="6" width="18.28515625" style="3" customWidth="1"/>
    <col min="7" max="7" width="14.42578125" style="3" customWidth="1"/>
    <col min="8" max="8" width="17" style="3" customWidth="1"/>
    <col min="9" max="9" width="19.85546875" style="3" customWidth="1"/>
    <col min="10" max="11" width="16.85546875" style="3" customWidth="1"/>
    <col min="12" max="16384" width="9.140625" style="3"/>
  </cols>
  <sheetData>
    <row r="1" spans="2:1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2:11" ht="15.75" x14ac:dyDescent="0.25">
      <c r="B2" s="240" t="s">
        <v>0</v>
      </c>
      <c r="C2" s="240"/>
      <c r="D2" s="240"/>
      <c r="E2" s="240"/>
      <c r="F2" s="240"/>
      <c r="G2" s="240"/>
      <c r="H2" s="240"/>
      <c r="I2" s="240"/>
      <c r="J2" s="240"/>
      <c r="K2" s="240"/>
    </row>
    <row r="3" spans="2:11" ht="15.75" x14ac:dyDescent="0.25">
      <c r="B3" s="241" t="s">
        <v>1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1" ht="15.75" x14ac:dyDescent="0.25">
      <c r="B4" s="242" t="s">
        <v>523</v>
      </c>
      <c r="C4" s="242"/>
      <c r="D4" s="242"/>
      <c r="E4" s="242"/>
      <c r="F4" s="242"/>
      <c r="G4" s="242"/>
      <c r="H4" s="242"/>
      <c r="I4" s="242"/>
      <c r="J4" s="242"/>
      <c r="K4" s="242"/>
    </row>
    <row r="5" spans="2:11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ht="27" customHeight="1" x14ac:dyDescent="0.25">
      <c r="B6" s="243" t="s">
        <v>3</v>
      </c>
      <c r="C6" s="245" t="s">
        <v>4</v>
      </c>
      <c r="D6" s="246"/>
      <c r="E6" s="247" t="s">
        <v>5</v>
      </c>
      <c r="F6" s="247" t="s">
        <v>6</v>
      </c>
      <c r="G6" s="249" t="s">
        <v>7</v>
      </c>
      <c r="H6" s="250"/>
      <c r="I6" s="251" t="s">
        <v>8</v>
      </c>
      <c r="J6" s="253" t="s">
        <v>9</v>
      </c>
      <c r="K6" s="254"/>
    </row>
    <row r="7" spans="2:11" ht="57.75" customHeight="1" thickBot="1" x14ac:dyDescent="0.3">
      <c r="B7" s="244"/>
      <c r="C7" s="5" t="s">
        <v>10</v>
      </c>
      <c r="D7" s="5" t="s">
        <v>11</v>
      </c>
      <c r="E7" s="248"/>
      <c r="F7" s="248"/>
      <c r="G7" s="6" t="s">
        <v>12</v>
      </c>
      <c r="H7" s="7" t="s">
        <v>13</v>
      </c>
      <c r="I7" s="252"/>
      <c r="J7" s="6" t="s">
        <v>12</v>
      </c>
      <c r="K7" s="8" t="s">
        <v>13</v>
      </c>
    </row>
    <row r="8" spans="2:11" ht="16.5" thickBot="1" x14ac:dyDescent="0.3">
      <c r="B8" s="255" t="s">
        <v>14</v>
      </c>
      <c r="C8" s="256"/>
      <c r="D8" s="256"/>
      <c r="E8" s="256"/>
      <c r="F8" s="256"/>
      <c r="G8" s="256"/>
      <c r="H8" s="256"/>
      <c r="I8" s="256"/>
      <c r="J8" s="256"/>
      <c r="K8" s="257"/>
    </row>
    <row r="9" spans="2:11" ht="48.75" customHeight="1" x14ac:dyDescent="0.25">
      <c r="B9" s="150" t="s">
        <v>15</v>
      </c>
      <c r="C9" s="160" t="s">
        <v>27</v>
      </c>
      <c r="D9" s="160" t="s">
        <v>28</v>
      </c>
      <c r="E9" s="160" t="s">
        <v>29</v>
      </c>
      <c r="F9" s="160">
        <f>H9+H10+H11</f>
        <v>1296.4112700000001</v>
      </c>
      <c r="G9" s="13" t="s">
        <v>34</v>
      </c>
      <c r="H9" s="14">
        <f>432137.09/1000</f>
        <v>432.13709</v>
      </c>
      <c r="I9" s="169">
        <f>K9+K10</f>
        <v>864.27418</v>
      </c>
      <c r="J9" s="14" t="s">
        <v>39</v>
      </c>
      <c r="K9" s="19">
        <v>432.13709</v>
      </c>
    </row>
    <row r="10" spans="2:11" ht="48.75" customHeight="1" x14ac:dyDescent="0.25">
      <c r="B10" s="163"/>
      <c r="C10" s="161"/>
      <c r="D10" s="161"/>
      <c r="E10" s="161"/>
      <c r="F10" s="161"/>
      <c r="G10" s="13" t="s">
        <v>36</v>
      </c>
      <c r="H10" s="14">
        <f>432137.09/1000</f>
        <v>432.13709</v>
      </c>
      <c r="I10" s="169"/>
      <c r="J10" s="12" t="s">
        <v>41</v>
      </c>
      <c r="K10" s="17">
        <v>432.13709</v>
      </c>
    </row>
    <row r="11" spans="2:11" ht="48.75" customHeight="1" x14ac:dyDescent="0.25">
      <c r="B11" s="163"/>
      <c r="C11" s="165"/>
      <c r="D11" s="165"/>
      <c r="E11" s="165"/>
      <c r="F11" s="165"/>
      <c r="G11" s="11" t="s">
        <v>38</v>
      </c>
      <c r="H11" s="20">
        <f>432137.09/1000</f>
        <v>432.13709</v>
      </c>
      <c r="I11" s="169"/>
      <c r="J11" s="14" t="s">
        <v>26</v>
      </c>
      <c r="K11" s="19" t="s">
        <v>26</v>
      </c>
    </row>
    <row r="12" spans="2:11" ht="43.5" customHeight="1" x14ac:dyDescent="0.25">
      <c r="B12" s="163"/>
      <c r="C12" s="152" t="s">
        <v>56</v>
      </c>
      <c r="D12" s="153"/>
      <c r="E12" s="11" t="s">
        <v>26</v>
      </c>
      <c r="F12" s="12">
        <f>H12</f>
        <v>86.2084586</v>
      </c>
      <c r="G12" s="11" t="s">
        <v>26</v>
      </c>
      <c r="H12" s="12">
        <f>86208.4586/1000</f>
        <v>86.2084586</v>
      </c>
      <c r="I12" s="12">
        <f t="shared" ref="I12:I16" si="0">K12</f>
        <v>180.83748</v>
      </c>
      <c r="J12" s="11" t="s">
        <v>26</v>
      </c>
      <c r="K12" s="17">
        <f>109.1147+71.72278</f>
        <v>180.83748</v>
      </c>
    </row>
    <row r="13" spans="2:11" ht="49.5" customHeight="1" x14ac:dyDescent="0.25">
      <c r="B13" s="163"/>
      <c r="C13" s="152" t="s">
        <v>57</v>
      </c>
      <c r="D13" s="153"/>
      <c r="E13" s="11" t="s">
        <v>26</v>
      </c>
      <c r="F13" s="12">
        <f t="shared" ref="F13:F16" si="1">H13</f>
        <v>110.3485</v>
      </c>
      <c r="G13" s="11" t="s">
        <v>26</v>
      </c>
      <c r="H13" s="12">
        <f>110348.5/1000</f>
        <v>110.3485</v>
      </c>
      <c r="I13" s="12">
        <f t="shared" si="0"/>
        <v>103.53840000000001</v>
      </c>
      <c r="J13" s="11" t="s">
        <v>26</v>
      </c>
      <c r="K13" s="17">
        <f>(95040.74+8497.66)/1000</f>
        <v>103.53840000000001</v>
      </c>
    </row>
    <row r="14" spans="2:11" ht="57.75" customHeight="1" x14ac:dyDescent="0.25">
      <c r="B14" s="163"/>
      <c r="C14" s="152" t="s">
        <v>58</v>
      </c>
      <c r="D14" s="153"/>
      <c r="E14" s="11" t="s">
        <v>26</v>
      </c>
      <c r="F14" s="12">
        <f t="shared" si="1"/>
        <v>83.873530000000002</v>
      </c>
      <c r="G14" s="11" t="s">
        <v>26</v>
      </c>
      <c r="H14" s="12">
        <f>83873.53/1000</f>
        <v>83.873530000000002</v>
      </c>
      <c r="I14" s="12">
        <f t="shared" si="0"/>
        <v>73.297599999999989</v>
      </c>
      <c r="J14" s="11" t="s">
        <v>26</v>
      </c>
      <c r="K14" s="17">
        <f>(67796.26+5501.34)/1000</f>
        <v>73.297599999999989</v>
      </c>
    </row>
    <row r="15" spans="2:11" ht="34.5" customHeight="1" x14ac:dyDescent="0.25">
      <c r="B15" s="163"/>
      <c r="C15" s="179" t="s">
        <v>65</v>
      </c>
      <c r="D15" s="180"/>
      <c r="E15" s="11" t="s">
        <v>26</v>
      </c>
      <c r="F15" s="12">
        <f t="shared" si="1"/>
        <v>37.930939250000002</v>
      </c>
      <c r="G15" s="11" t="s">
        <v>26</v>
      </c>
      <c r="H15" s="14">
        <v>37.930939250000002</v>
      </c>
      <c r="I15" s="12">
        <f t="shared" si="0"/>
        <v>37.930939250000002</v>
      </c>
      <c r="J15" s="11" t="s">
        <v>26</v>
      </c>
      <c r="K15" s="19">
        <v>37.930939250000002</v>
      </c>
    </row>
    <row r="16" spans="2:11" ht="34.5" customHeight="1" thickBot="1" x14ac:dyDescent="0.3">
      <c r="B16" s="151"/>
      <c r="C16" s="179" t="s">
        <v>66</v>
      </c>
      <c r="D16" s="180"/>
      <c r="E16" s="11" t="s">
        <v>26</v>
      </c>
      <c r="F16" s="12">
        <f t="shared" si="1"/>
        <v>38.27901</v>
      </c>
      <c r="G16" s="11" t="s">
        <v>26</v>
      </c>
      <c r="H16" s="14">
        <f>38279.01/1000</f>
        <v>38.27901</v>
      </c>
      <c r="I16" s="12">
        <f t="shared" si="0"/>
        <v>38.27901</v>
      </c>
      <c r="J16" s="11" t="s">
        <v>26</v>
      </c>
      <c r="K16" s="19">
        <f>38279.01/1000</f>
        <v>38.27901</v>
      </c>
    </row>
    <row r="17" spans="2:11" ht="16.5" thickBot="1" x14ac:dyDescent="0.3">
      <c r="B17" s="264"/>
      <c r="C17" s="206"/>
      <c r="D17" s="206"/>
      <c r="E17" s="206"/>
      <c r="F17" s="206"/>
      <c r="G17" s="206"/>
      <c r="H17" s="206"/>
      <c r="I17" s="206"/>
      <c r="J17" s="206"/>
      <c r="K17" s="207"/>
    </row>
    <row r="18" spans="2:11" ht="44.25" customHeight="1" thickBot="1" x14ac:dyDescent="0.3">
      <c r="B18" s="45" t="s">
        <v>96</v>
      </c>
      <c r="C18" s="11" t="s">
        <v>43</v>
      </c>
      <c r="D18" s="11" t="s">
        <v>44</v>
      </c>
      <c r="E18" s="12" t="s">
        <v>26</v>
      </c>
      <c r="F18" s="12">
        <f t="shared" ref="F18" si="2">H18</f>
        <v>66.102800000000002</v>
      </c>
      <c r="G18" s="12" t="s">
        <v>102</v>
      </c>
      <c r="H18" s="20">
        <v>66.102800000000002</v>
      </c>
      <c r="I18" s="20" t="s">
        <v>26</v>
      </c>
      <c r="J18" s="12" t="s">
        <v>26</v>
      </c>
      <c r="K18" s="24" t="s">
        <v>26</v>
      </c>
    </row>
    <row r="19" spans="2:11" ht="16.5" thickBot="1" x14ac:dyDescent="0.3">
      <c r="B19" s="265"/>
      <c r="C19" s="266"/>
      <c r="D19" s="266"/>
      <c r="E19" s="266"/>
      <c r="F19" s="266"/>
      <c r="G19" s="266"/>
      <c r="H19" s="266"/>
      <c r="I19" s="266"/>
      <c r="J19" s="266"/>
      <c r="K19" s="254"/>
    </row>
    <row r="20" spans="2:11" ht="42" customHeight="1" x14ac:dyDescent="0.25">
      <c r="B20" s="225" t="s">
        <v>113</v>
      </c>
      <c r="C20" s="261" t="s">
        <v>114</v>
      </c>
      <c r="D20" s="261" t="s">
        <v>115</v>
      </c>
      <c r="E20" s="262">
        <f>43069797.89/1000</f>
        <v>43069.797890000002</v>
      </c>
      <c r="F20" s="262">
        <f>H20+H21+H22+H23</f>
        <v>8400</v>
      </c>
      <c r="G20" s="35" t="s">
        <v>121</v>
      </c>
      <c r="H20" s="35">
        <v>2100</v>
      </c>
      <c r="I20" s="35" t="s">
        <v>26</v>
      </c>
      <c r="J20" s="35" t="s">
        <v>26</v>
      </c>
      <c r="K20" s="36" t="s">
        <v>26</v>
      </c>
    </row>
    <row r="21" spans="2:11" ht="42" customHeight="1" x14ac:dyDescent="0.25">
      <c r="B21" s="226"/>
      <c r="C21" s="183"/>
      <c r="D21" s="183"/>
      <c r="E21" s="183"/>
      <c r="F21" s="183"/>
      <c r="G21" s="12" t="s">
        <v>122</v>
      </c>
      <c r="H21" s="12">
        <v>2100</v>
      </c>
      <c r="I21" s="12" t="s">
        <v>26</v>
      </c>
      <c r="J21" s="12" t="s">
        <v>26</v>
      </c>
      <c r="K21" s="17" t="s">
        <v>26</v>
      </c>
    </row>
    <row r="22" spans="2:11" ht="42" customHeight="1" x14ac:dyDescent="0.25">
      <c r="B22" s="226"/>
      <c r="C22" s="183"/>
      <c r="D22" s="183"/>
      <c r="E22" s="183"/>
      <c r="F22" s="183"/>
      <c r="G22" s="12" t="s">
        <v>123</v>
      </c>
      <c r="H22" s="12">
        <f>2100000/1000</f>
        <v>2100</v>
      </c>
      <c r="I22" s="12" t="s">
        <v>26</v>
      </c>
      <c r="J22" s="12" t="s">
        <v>26</v>
      </c>
      <c r="K22" s="17" t="s">
        <v>26</v>
      </c>
    </row>
    <row r="23" spans="2:11" ht="42" customHeight="1" thickBot="1" x14ac:dyDescent="0.3">
      <c r="B23" s="233"/>
      <c r="C23" s="164"/>
      <c r="D23" s="164"/>
      <c r="E23" s="164"/>
      <c r="F23" s="164"/>
      <c r="G23" s="26" t="s">
        <v>124</v>
      </c>
      <c r="H23" s="26">
        <f>2100000/1000</f>
        <v>2100</v>
      </c>
      <c r="I23" s="26" t="s">
        <v>26</v>
      </c>
      <c r="J23" s="26" t="s">
        <v>26</v>
      </c>
      <c r="K23" s="16" t="s">
        <v>26</v>
      </c>
    </row>
    <row r="24" spans="2:11" ht="45" customHeight="1" x14ac:dyDescent="0.25">
      <c r="B24" s="225" t="s">
        <v>126</v>
      </c>
      <c r="C24" s="261" t="s">
        <v>114</v>
      </c>
      <c r="D24" s="261" t="s">
        <v>127</v>
      </c>
      <c r="E24" s="262">
        <f>57760510.17/1000</f>
        <v>57760.510170000001</v>
      </c>
      <c r="F24" s="262">
        <f>H24+H25+H26</f>
        <v>8400</v>
      </c>
      <c r="G24" s="35" t="s">
        <v>134</v>
      </c>
      <c r="H24" s="35">
        <v>2800</v>
      </c>
      <c r="I24" s="35" t="s">
        <v>26</v>
      </c>
      <c r="J24" s="35" t="s">
        <v>26</v>
      </c>
      <c r="K24" s="36" t="s">
        <v>26</v>
      </c>
    </row>
    <row r="25" spans="2:11" ht="45" customHeight="1" x14ac:dyDescent="0.25">
      <c r="B25" s="226"/>
      <c r="C25" s="183"/>
      <c r="D25" s="183"/>
      <c r="E25" s="183"/>
      <c r="F25" s="183"/>
      <c r="G25" s="12" t="s">
        <v>135</v>
      </c>
      <c r="H25" s="12">
        <v>2800</v>
      </c>
      <c r="I25" s="12" t="s">
        <v>26</v>
      </c>
      <c r="J25" s="12" t="s">
        <v>26</v>
      </c>
      <c r="K25" s="17" t="s">
        <v>26</v>
      </c>
    </row>
    <row r="26" spans="2:11" ht="45" customHeight="1" thickBot="1" x14ac:dyDescent="0.3">
      <c r="B26" s="233"/>
      <c r="C26" s="164"/>
      <c r="D26" s="164"/>
      <c r="E26" s="164"/>
      <c r="F26" s="164"/>
      <c r="G26" s="26" t="s">
        <v>136</v>
      </c>
      <c r="H26" s="26">
        <f>2800000/1000</f>
        <v>2800</v>
      </c>
      <c r="I26" s="26" t="s">
        <v>26</v>
      </c>
      <c r="J26" s="26" t="s">
        <v>26</v>
      </c>
      <c r="K26" s="16" t="s">
        <v>26</v>
      </c>
    </row>
    <row r="27" spans="2:11" ht="42" customHeight="1" x14ac:dyDescent="0.25">
      <c r="B27" s="225" t="s">
        <v>144</v>
      </c>
      <c r="C27" s="261" t="s">
        <v>114</v>
      </c>
      <c r="D27" s="261" t="s">
        <v>145</v>
      </c>
      <c r="E27" s="262">
        <f>61898866.22/1000</f>
        <v>61898.866219999996</v>
      </c>
      <c r="F27" s="262">
        <f>H27+H28+H29+H30</f>
        <v>12000</v>
      </c>
      <c r="G27" s="35" t="s">
        <v>151</v>
      </c>
      <c r="H27" s="35">
        <v>3000</v>
      </c>
      <c r="I27" s="35" t="s">
        <v>26</v>
      </c>
      <c r="J27" s="35" t="s">
        <v>26</v>
      </c>
      <c r="K27" s="36" t="s">
        <v>26</v>
      </c>
    </row>
    <row r="28" spans="2:11" ht="42" customHeight="1" x14ac:dyDescent="0.25">
      <c r="B28" s="226"/>
      <c r="C28" s="183"/>
      <c r="D28" s="183"/>
      <c r="E28" s="183"/>
      <c r="F28" s="183"/>
      <c r="G28" s="12" t="s">
        <v>152</v>
      </c>
      <c r="H28" s="12">
        <v>3000</v>
      </c>
      <c r="I28" s="12" t="s">
        <v>26</v>
      </c>
      <c r="J28" s="12" t="s">
        <v>26</v>
      </c>
      <c r="K28" s="17" t="s">
        <v>26</v>
      </c>
    </row>
    <row r="29" spans="2:11" ht="42" customHeight="1" x14ac:dyDescent="0.25">
      <c r="B29" s="226"/>
      <c r="C29" s="183"/>
      <c r="D29" s="183"/>
      <c r="E29" s="183"/>
      <c r="F29" s="183"/>
      <c r="G29" s="12" t="s">
        <v>153</v>
      </c>
      <c r="H29" s="12">
        <f>3000000/1000</f>
        <v>3000</v>
      </c>
      <c r="I29" s="12" t="s">
        <v>26</v>
      </c>
      <c r="J29" s="12" t="s">
        <v>26</v>
      </c>
      <c r="K29" s="17" t="s">
        <v>26</v>
      </c>
    </row>
    <row r="30" spans="2:11" ht="42" customHeight="1" thickBot="1" x14ac:dyDescent="0.3">
      <c r="B30" s="233"/>
      <c r="C30" s="164"/>
      <c r="D30" s="164"/>
      <c r="E30" s="164"/>
      <c r="F30" s="164"/>
      <c r="G30" s="26" t="s">
        <v>154</v>
      </c>
      <c r="H30" s="26">
        <f>3000000/1000</f>
        <v>3000</v>
      </c>
      <c r="I30" s="26" t="s">
        <v>26</v>
      </c>
      <c r="J30" s="26" t="s">
        <v>26</v>
      </c>
      <c r="K30" s="16" t="s">
        <v>26</v>
      </c>
    </row>
    <row r="31" spans="2:11" ht="67.5" customHeight="1" x14ac:dyDescent="0.25">
      <c r="B31" s="225" t="s">
        <v>156</v>
      </c>
      <c r="C31" s="261" t="s">
        <v>114</v>
      </c>
      <c r="D31" s="261" t="s">
        <v>157</v>
      </c>
      <c r="E31" s="262">
        <v>59628.235540000001</v>
      </c>
      <c r="F31" s="262">
        <f>H32+H31+H33</f>
        <v>2655.2482170883227</v>
      </c>
      <c r="G31" s="35" t="s">
        <v>164</v>
      </c>
      <c r="H31" s="35">
        <v>2000</v>
      </c>
      <c r="I31" s="35" t="s">
        <v>26</v>
      </c>
      <c r="J31" s="35" t="s">
        <v>26</v>
      </c>
      <c r="K31" s="36" t="s">
        <v>26</v>
      </c>
    </row>
    <row r="32" spans="2:11" ht="67.5" customHeight="1" thickBot="1" x14ac:dyDescent="0.3">
      <c r="B32" s="227"/>
      <c r="C32" s="215"/>
      <c r="D32" s="215"/>
      <c r="E32" s="263"/>
      <c r="F32" s="263"/>
      <c r="G32" s="30" t="s">
        <v>165</v>
      </c>
      <c r="H32" s="30">
        <v>628.23551999999995</v>
      </c>
      <c r="I32" s="30" t="s">
        <v>26</v>
      </c>
      <c r="J32" s="30" t="s">
        <v>26</v>
      </c>
      <c r="K32" s="51" t="s">
        <v>26</v>
      </c>
    </row>
    <row r="33" spans="2:11" ht="45.75" customHeight="1" x14ac:dyDescent="0.25">
      <c r="B33" s="150" t="s">
        <v>166</v>
      </c>
      <c r="C33" s="235" t="s">
        <v>56</v>
      </c>
      <c r="D33" s="236"/>
      <c r="E33" s="34" t="s">
        <v>26</v>
      </c>
      <c r="F33" s="35">
        <f t="shared" ref="F33:F41" si="3">H33</f>
        <v>27.0126970883227</v>
      </c>
      <c r="G33" s="34" t="s">
        <v>26</v>
      </c>
      <c r="H33" s="35">
        <f>27012.6970883227/1000</f>
        <v>27.0126970883227</v>
      </c>
      <c r="I33" s="48">
        <f>K33</f>
        <v>130.11346</v>
      </c>
      <c r="J33" s="34" t="s">
        <v>26</v>
      </c>
      <c r="K33" s="44">
        <f>106294.46/1000+23.819</f>
        <v>130.11346</v>
      </c>
    </row>
    <row r="34" spans="2:11" ht="45.75" customHeight="1" x14ac:dyDescent="0.25">
      <c r="B34" s="163"/>
      <c r="C34" s="179" t="s">
        <v>57</v>
      </c>
      <c r="D34" s="180"/>
      <c r="E34" s="11" t="s">
        <v>26</v>
      </c>
      <c r="F34" s="12">
        <f t="shared" si="3"/>
        <v>114.40482</v>
      </c>
      <c r="G34" s="11" t="s">
        <v>26</v>
      </c>
      <c r="H34" s="12">
        <f>114404.82/1000</f>
        <v>114.40482</v>
      </c>
      <c r="I34" s="20">
        <f t="shared" ref="I34:I35" si="4">K34</f>
        <v>115.14254999999999</v>
      </c>
      <c r="J34" s="11" t="s">
        <v>26</v>
      </c>
      <c r="K34" s="24">
        <f>(105879.9+9262.65)/1000</f>
        <v>115.14254999999999</v>
      </c>
    </row>
    <row r="35" spans="2:11" ht="57" customHeight="1" thickBot="1" x14ac:dyDescent="0.3">
      <c r="B35" s="151"/>
      <c r="C35" s="189" t="s">
        <v>58</v>
      </c>
      <c r="D35" s="190"/>
      <c r="E35" s="29" t="s">
        <v>26</v>
      </c>
      <c r="F35" s="30">
        <f t="shared" si="3"/>
        <v>95.651300000000006</v>
      </c>
      <c r="G35" s="29" t="s">
        <v>26</v>
      </c>
      <c r="H35" s="30">
        <f>95651.3/1000</f>
        <v>95.651300000000006</v>
      </c>
      <c r="I35" s="31">
        <f t="shared" si="4"/>
        <v>89.7761</v>
      </c>
      <c r="J35" s="29" t="s">
        <v>26</v>
      </c>
      <c r="K35" s="32">
        <f>(83002.55+6773.55)/1000</f>
        <v>89.7761</v>
      </c>
    </row>
    <row r="36" spans="2:11" ht="50.25" customHeight="1" x14ac:dyDescent="0.25">
      <c r="B36" s="150" t="s">
        <v>169</v>
      </c>
      <c r="C36" s="235" t="s">
        <v>56</v>
      </c>
      <c r="D36" s="236"/>
      <c r="E36" s="34" t="s">
        <v>26</v>
      </c>
      <c r="F36" s="35">
        <f t="shared" si="3"/>
        <v>22.3391250991764</v>
      </c>
      <c r="G36" s="34" t="s">
        <v>26</v>
      </c>
      <c r="H36" s="35">
        <f>22339.1250991764/1000</f>
        <v>22.3391250991764</v>
      </c>
      <c r="I36" s="48">
        <f>K36</f>
        <v>104.5342</v>
      </c>
      <c r="J36" s="34" t="s">
        <v>26</v>
      </c>
      <c r="K36" s="44">
        <f>85.92871+18.60549</f>
        <v>104.5342</v>
      </c>
    </row>
    <row r="37" spans="2:11" ht="50.25" customHeight="1" x14ac:dyDescent="0.25">
      <c r="B37" s="163"/>
      <c r="C37" s="179" t="s">
        <v>57</v>
      </c>
      <c r="D37" s="180"/>
      <c r="E37" s="11" t="s">
        <v>26</v>
      </c>
      <c r="F37" s="12">
        <f t="shared" si="3"/>
        <v>97.824039999999997</v>
      </c>
      <c r="G37" s="11" t="s">
        <v>26</v>
      </c>
      <c r="H37" s="12">
        <f>97824.04/1000</f>
        <v>97.824039999999997</v>
      </c>
      <c r="I37" s="20">
        <f t="shared" ref="I37:I38" si="5">K37</f>
        <v>111.35549</v>
      </c>
      <c r="J37" s="11" t="s">
        <v>26</v>
      </c>
      <c r="K37" s="24">
        <f>(102395.52+8959.97)/1000</f>
        <v>111.35549</v>
      </c>
    </row>
    <row r="38" spans="2:11" ht="58.5" customHeight="1" thickBot="1" x14ac:dyDescent="0.3">
      <c r="B38" s="151"/>
      <c r="C38" s="181" t="s">
        <v>58</v>
      </c>
      <c r="D38" s="182"/>
      <c r="E38" s="38" t="s">
        <v>26</v>
      </c>
      <c r="F38" s="39">
        <f t="shared" si="3"/>
        <v>90.734610000000004</v>
      </c>
      <c r="G38" s="38" t="s">
        <v>26</v>
      </c>
      <c r="H38" s="39">
        <f>90734.61/1000</f>
        <v>90.734610000000004</v>
      </c>
      <c r="I38" s="40">
        <f t="shared" si="5"/>
        <v>80.573740000000001</v>
      </c>
      <c r="J38" s="38" t="s">
        <v>26</v>
      </c>
      <c r="K38" s="41">
        <f>(74438.39+6135.35)/1000</f>
        <v>80.573740000000001</v>
      </c>
    </row>
    <row r="39" spans="2:11" ht="47.25" customHeight="1" x14ac:dyDescent="0.25">
      <c r="B39" s="150" t="s">
        <v>170</v>
      </c>
      <c r="C39" s="235" t="s">
        <v>56</v>
      </c>
      <c r="D39" s="236"/>
      <c r="E39" s="34" t="s">
        <v>26</v>
      </c>
      <c r="F39" s="35">
        <f t="shared" si="3"/>
        <v>18.12172</v>
      </c>
      <c r="G39" s="34" t="s">
        <v>26</v>
      </c>
      <c r="H39" s="35">
        <f>18121.72/1000</f>
        <v>18.12172</v>
      </c>
      <c r="I39" s="48">
        <f>K39</f>
        <v>82.025049999999993</v>
      </c>
      <c r="J39" s="34" t="s">
        <v>26</v>
      </c>
      <c r="K39" s="44">
        <f>64.20599+17.81906</f>
        <v>82.025049999999993</v>
      </c>
    </row>
    <row r="40" spans="2:11" ht="47.25" customHeight="1" x14ac:dyDescent="0.25">
      <c r="B40" s="163"/>
      <c r="C40" s="179" t="s">
        <v>57</v>
      </c>
      <c r="D40" s="180"/>
      <c r="E40" s="11" t="s">
        <v>26</v>
      </c>
      <c r="F40" s="12">
        <f t="shared" si="3"/>
        <v>78.878299999999996</v>
      </c>
      <c r="G40" s="11" t="s">
        <v>26</v>
      </c>
      <c r="H40" s="12">
        <f>78878.3/1000</f>
        <v>78.878299999999996</v>
      </c>
      <c r="I40" s="20">
        <f t="shared" ref="I40:I43" si="6">K40</f>
        <v>106.03588999999999</v>
      </c>
      <c r="J40" s="11" t="s">
        <v>26</v>
      </c>
      <c r="K40" s="24">
        <f>(97598.59+8437.3)/1000</f>
        <v>106.03588999999999</v>
      </c>
    </row>
    <row r="41" spans="2:11" ht="53.25" customHeight="1" thickBot="1" x14ac:dyDescent="0.3">
      <c r="B41" s="151"/>
      <c r="C41" s="215" t="s">
        <v>58</v>
      </c>
      <c r="D41" s="215"/>
      <c r="E41" s="29" t="s">
        <v>26</v>
      </c>
      <c r="F41" s="30">
        <f t="shared" si="3"/>
        <v>88.997600000000006</v>
      </c>
      <c r="G41" s="29" t="s">
        <v>26</v>
      </c>
      <c r="H41" s="30">
        <f>88997.6/1000</f>
        <v>88.997600000000006</v>
      </c>
      <c r="I41" s="31">
        <f t="shared" si="6"/>
        <v>88.52046</v>
      </c>
      <c r="J41" s="29" t="s">
        <v>26</v>
      </c>
      <c r="K41" s="32">
        <f>(81741.97+6778.49)/1000</f>
        <v>88.52046</v>
      </c>
    </row>
    <row r="42" spans="2:11" ht="15" customHeight="1" thickBot="1" x14ac:dyDescent="0.3">
      <c r="B42" s="66"/>
      <c r="C42" s="67"/>
      <c r="D42" s="68"/>
      <c r="E42" s="63"/>
      <c r="F42" s="37"/>
      <c r="G42" s="63"/>
      <c r="H42" s="37"/>
      <c r="I42" s="64"/>
      <c r="J42" s="63"/>
      <c r="K42" s="65"/>
    </row>
    <row r="43" spans="2:11" ht="60.75" customHeight="1" thickBot="1" x14ac:dyDescent="0.3">
      <c r="B43" s="69" t="s">
        <v>171</v>
      </c>
      <c r="C43" s="70" t="s">
        <v>172</v>
      </c>
      <c r="D43" s="70" t="s">
        <v>173</v>
      </c>
      <c r="E43" s="71">
        <f>807014.98/1000</f>
        <v>807.01498000000004</v>
      </c>
      <c r="F43" s="72" t="str">
        <f>H43</f>
        <v>__</v>
      </c>
      <c r="G43" s="72" t="s">
        <v>26</v>
      </c>
      <c r="H43" s="72" t="s">
        <v>26</v>
      </c>
      <c r="I43" s="101">
        <f t="shared" si="6"/>
        <v>807.01498000000004</v>
      </c>
      <c r="J43" s="71" t="s">
        <v>175</v>
      </c>
      <c r="K43" s="73">
        <f>807014.98/1000</f>
        <v>807.01498000000004</v>
      </c>
    </row>
    <row r="44" spans="2:11" s="74" customFormat="1" ht="15" customHeight="1" thickBot="1" x14ac:dyDescent="0.3">
      <c r="B44" s="228"/>
      <c r="C44" s="184"/>
      <c r="D44" s="184"/>
      <c r="E44" s="184"/>
      <c r="F44" s="184"/>
      <c r="G44" s="184"/>
      <c r="H44" s="184"/>
      <c r="I44" s="184"/>
      <c r="J44" s="184"/>
      <c r="K44" s="229"/>
    </row>
    <row r="45" spans="2:11" ht="45" x14ac:dyDescent="0.25">
      <c r="B45" s="150" t="s">
        <v>179</v>
      </c>
      <c r="C45" s="34" t="s">
        <v>43</v>
      </c>
      <c r="D45" s="90" t="s">
        <v>44</v>
      </c>
      <c r="E45" s="35" t="s">
        <v>26</v>
      </c>
      <c r="F45" s="35">
        <f t="shared" ref="F45:F48" si="7">H45</f>
        <v>63.30142</v>
      </c>
      <c r="G45" s="35" t="s">
        <v>239</v>
      </c>
      <c r="H45" s="35">
        <v>63.30142</v>
      </c>
      <c r="I45" s="155" t="s">
        <v>26</v>
      </c>
      <c r="J45" s="155" t="s">
        <v>26</v>
      </c>
      <c r="K45" s="238" t="s">
        <v>26</v>
      </c>
    </row>
    <row r="46" spans="2:11" ht="51" customHeight="1" x14ac:dyDescent="0.25">
      <c r="B46" s="163"/>
      <c r="C46" s="11" t="s">
        <v>43</v>
      </c>
      <c r="D46" s="22" t="s">
        <v>44</v>
      </c>
      <c r="E46" s="12" t="s">
        <v>26</v>
      </c>
      <c r="F46" s="14">
        <f t="shared" si="7"/>
        <v>79.994110000000006</v>
      </c>
      <c r="G46" s="12" t="s">
        <v>239</v>
      </c>
      <c r="H46" s="12">
        <v>79.994110000000006</v>
      </c>
      <c r="I46" s="169"/>
      <c r="J46" s="169" t="s">
        <v>26</v>
      </c>
      <c r="K46" s="198" t="s">
        <v>26</v>
      </c>
    </row>
    <row r="47" spans="2:11" ht="49.5" customHeight="1" x14ac:dyDescent="0.25">
      <c r="B47" s="163"/>
      <c r="C47" s="11" t="s">
        <v>43</v>
      </c>
      <c r="D47" s="22" t="s">
        <v>44</v>
      </c>
      <c r="E47" s="12" t="s">
        <v>26</v>
      </c>
      <c r="F47" s="14">
        <f t="shared" si="7"/>
        <v>118.0258</v>
      </c>
      <c r="G47" s="12" t="s">
        <v>239</v>
      </c>
      <c r="H47" s="12">
        <v>118.0258</v>
      </c>
      <c r="I47" s="169"/>
      <c r="J47" s="169" t="s">
        <v>26</v>
      </c>
      <c r="K47" s="198" t="s">
        <v>26</v>
      </c>
    </row>
    <row r="48" spans="2:11" ht="54.75" customHeight="1" thickBot="1" x14ac:dyDescent="0.3">
      <c r="B48" s="151"/>
      <c r="C48" s="29" t="s">
        <v>43</v>
      </c>
      <c r="D48" s="102" t="s">
        <v>44</v>
      </c>
      <c r="E48" s="30" t="s">
        <v>26</v>
      </c>
      <c r="F48" s="30">
        <f t="shared" si="7"/>
        <v>13.54</v>
      </c>
      <c r="G48" s="30" t="s">
        <v>239</v>
      </c>
      <c r="H48" s="30">
        <v>13.54</v>
      </c>
      <c r="I48" s="231"/>
      <c r="J48" s="231" t="s">
        <v>26</v>
      </c>
      <c r="K48" s="260" t="s">
        <v>26</v>
      </c>
    </row>
    <row r="49" spans="2:11" ht="16.5" thickBot="1" x14ac:dyDescent="0.3">
      <c r="B49" s="216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2:11" ht="91.5" customHeight="1" thickBot="1" x14ac:dyDescent="0.3">
      <c r="B50" s="75" t="s">
        <v>264</v>
      </c>
      <c r="C50" s="223" t="s">
        <v>70</v>
      </c>
      <c r="D50" s="224"/>
      <c r="E50" s="72" t="s">
        <v>26</v>
      </c>
      <c r="F50" s="72">
        <f>H50</f>
        <v>-68.183229999999995</v>
      </c>
      <c r="G50" s="72" t="s">
        <v>26</v>
      </c>
      <c r="H50" s="72">
        <f>-68183.23/1000</f>
        <v>-68.183229999999995</v>
      </c>
      <c r="I50" s="72" t="s">
        <v>26</v>
      </c>
      <c r="J50" s="72" t="s">
        <v>26</v>
      </c>
      <c r="K50" s="77"/>
    </row>
    <row r="51" spans="2:11" ht="16.5" thickBot="1" x14ac:dyDescent="0.3">
      <c r="B51" s="202" t="s">
        <v>273</v>
      </c>
      <c r="C51" s="203"/>
      <c r="D51" s="203"/>
      <c r="E51" s="204"/>
      <c r="F51" s="83">
        <f>SUM(F9:F50)</f>
        <v>34015.045037125827</v>
      </c>
      <c r="G51" s="84"/>
      <c r="H51" s="85">
        <f>SUM(H9:H50)</f>
        <v>33988.032340037505</v>
      </c>
      <c r="I51" s="83">
        <f>SUM(I9:I50)</f>
        <v>3013.2495292499998</v>
      </c>
      <c r="J51" s="52"/>
      <c r="K51" s="86">
        <f>SUM(K9:K50)</f>
        <v>3013.2495292499998</v>
      </c>
    </row>
    <row r="52" spans="2:11" ht="16.5" thickBot="1" x14ac:dyDescent="0.3">
      <c r="B52" s="205" t="s">
        <v>274</v>
      </c>
      <c r="C52" s="206"/>
      <c r="D52" s="206"/>
      <c r="E52" s="206"/>
      <c r="F52" s="206"/>
      <c r="G52" s="206"/>
      <c r="H52" s="206"/>
      <c r="I52" s="206"/>
      <c r="J52" s="206"/>
      <c r="K52" s="207"/>
    </row>
    <row r="53" spans="2:11" ht="45.75" customHeight="1" x14ac:dyDescent="0.25">
      <c r="B53" s="150" t="s">
        <v>275</v>
      </c>
      <c r="C53" s="160" t="s">
        <v>278</v>
      </c>
      <c r="D53" s="160" t="s">
        <v>279</v>
      </c>
      <c r="E53" s="160">
        <v>82000</v>
      </c>
      <c r="F53" s="155">
        <f>H53+H54+H55+H58+H56+H57+H59</f>
        <v>17851.63294</v>
      </c>
      <c r="G53" s="35" t="s">
        <v>300</v>
      </c>
      <c r="H53" s="35">
        <v>2194.6619999999998</v>
      </c>
      <c r="I53" s="155">
        <f>K53+K54+K55+K56+K59</f>
        <v>22961.08885</v>
      </c>
      <c r="J53" s="35" t="s">
        <v>301</v>
      </c>
      <c r="K53" s="36">
        <v>7196.6325299999999</v>
      </c>
    </row>
    <row r="54" spans="2:11" ht="43.5" customHeight="1" x14ac:dyDescent="0.25">
      <c r="B54" s="163"/>
      <c r="C54" s="161"/>
      <c r="D54" s="161"/>
      <c r="E54" s="161"/>
      <c r="F54" s="161"/>
      <c r="G54" s="14" t="s">
        <v>302</v>
      </c>
      <c r="H54" s="14">
        <v>1000</v>
      </c>
      <c r="I54" s="169"/>
      <c r="J54" s="14" t="s">
        <v>303</v>
      </c>
      <c r="K54" s="17">
        <v>143.59798000000001</v>
      </c>
    </row>
    <row r="55" spans="2:11" ht="44.25" customHeight="1" x14ac:dyDescent="0.25">
      <c r="B55" s="163"/>
      <c r="C55" s="161"/>
      <c r="D55" s="161"/>
      <c r="E55" s="161"/>
      <c r="F55" s="161"/>
      <c r="G55" s="14" t="s">
        <v>304</v>
      </c>
      <c r="H55" s="14">
        <v>143.59798000000001</v>
      </c>
      <c r="I55" s="169"/>
      <c r="J55" s="14" t="s">
        <v>305</v>
      </c>
      <c r="K55" s="17">
        <v>1975.1956499999999</v>
      </c>
    </row>
    <row r="56" spans="2:11" ht="30.75" customHeight="1" x14ac:dyDescent="0.25">
      <c r="B56" s="163"/>
      <c r="C56" s="161"/>
      <c r="D56" s="161"/>
      <c r="E56" s="161"/>
      <c r="F56" s="161"/>
      <c r="G56" s="14" t="s">
        <v>306</v>
      </c>
      <c r="H56" s="14">
        <f>4919777.53/1000</f>
        <v>4919.7775300000003</v>
      </c>
      <c r="I56" s="169"/>
      <c r="J56" s="168" t="s">
        <v>307</v>
      </c>
      <c r="K56" s="209">
        <f>6341544.78/1000</f>
        <v>6341.5447800000002</v>
      </c>
    </row>
    <row r="57" spans="2:11" ht="30.75" customHeight="1" x14ac:dyDescent="0.25">
      <c r="B57" s="163"/>
      <c r="C57" s="161"/>
      <c r="D57" s="161"/>
      <c r="E57" s="161"/>
      <c r="F57" s="161"/>
      <c r="G57" s="14" t="s">
        <v>308</v>
      </c>
      <c r="H57" s="14">
        <f>1276855/1000</f>
        <v>1276.855</v>
      </c>
      <c r="I57" s="169"/>
      <c r="J57" s="169"/>
      <c r="K57" s="210"/>
    </row>
    <row r="58" spans="2:11" ht="30.75" customHeight="1" x14ac:dyDescent="0.25">
      <c r="B58" s="163"/>
      <c r="C58" s="161"/>
      <c r="D58" s="161"/>
      <c r="E58" s="161"/>
      <c r="F58" s="161"/>
      <c r="G58" s="14" t="s">
        <v>309</v>
      </c>
      <c r="H58" s="14">
        <f>1975195.65/1000</f>
        <v>1975.1956499999999</v>
      </c>
      <c r="I58" s="169"/>
      <c r="J58" s="156"/>
      <c r="K58" s="211"/>
    </row>
    <row r="59" spans="2:11" ht="45.75" customHeight="1" x14ac:dyDescent="0.25">
      <c r="B59" s="163"/>
      <c r="C59" s="165"/>
      <c r="D59" s="165"/>
      <c r="E59" s="165"/>
      <c r="F59" s="165"/>
      <c r="G59" s="14" t="s">
        <v>310</v>
      </c>
      <c r="H59" s="12">
        <f>6341544.78/1000</f>
        <v>6341.5447800000002</v>
      </c>
      <c r="I59" s="169"/>
      <c r="J59" s="12" t="s">
        <v>311</v>
      </c>
      <c r="K59" s="87">
        <f>7304117.91/1000</f>
        <v>7304.1179099999999</v>
      </c>
    </row>
    <row r="60" spans="2:11" ht="44.25" customHeight="1" x14ac:dyDescent="0.25">
      <c r="B60" s="163"/>
      <c r="C60" s="11" t="s">
        <v>278</v>
      </c>
      <c r="D60" s="11" t="s">
        <v>318</v>
      </c>
      <c r="E60" s="12">
        <f>7700000/1000</f>
        <v>7700</v>
      </c>
      <c r="F60" s="12" t="str">
        <f>H60</f>
        <v>__</v>
      </c>
      <c r="G60" s="11" t="s">
        <v>26</v>
      </c>
      <c r="H60" s="11" t="s">
        <v>26</v>
      </c>
      <c r="I60" s="12">
        <f>K60</f>
        <v>145.11653000000001</v>
      </c>
      <c r="J60" s="12" t="s">
        <v>320</v>
      </c>
      <c r="K60" s="87">
        <f>145116.53/1000</f>
        <v>145.11653000000001</v>
      </c>
    </row>
    <row r="61" spans="2:11" ht="48" customHeight="1" x14ac:dyDescent="0.25">
      <c r="B61" s="163"/>
      <c r="C61" s="164" t="s">
        <v>27</v>
      </c>
      <c r="D61" s="164" t="s">
        <v>28</v>
      </c>
      <c r="E61" s="164" t="s">
        <v>29</v>
      </c>
      <c r="F61" s="164">
        <f>H61+H62+H63</f>
        <v>2734.7412899999999</v>
      </c>
      <c r="G61" s="13" t="s">
        <v>335</v>
      </c>
      <c r="H61" s="14">
        <v>911.58042999999998</v>
      </c>
      <c r="I61" s="169">
        <f>K61+K62</f>
        <v>1823.16086</v>
      </c>
      <c r="J61" s="14" t="s">
        <v>39</v>
      </c>
      <c r="K61" s="17">
        <v>911.58042999999998</v>
      </c>
    </row>
    <row r="62" spans="2:11" ht="48" customHeight="1" x14ac:dyDescent="0.25">
      <c r="B62" s="163"/>
      <c r="C62" s="161"/>
      <c r="D62" s="161"/>
      <c r="E62" s="161"/>
      <c r="F62" s="161"/>
      <c r="G62" s="11" t="s">
        <v>336</v>
      </c>
      <c r="H62" s="12">
        <v>911.58042999999998</v>
      </c>
      <c r="I62" s="169"/>
      <c r="J62" s="14" t="s">
        <v>41</v>
      </c>
      <c r="K62" s="17">
        <f>911580.43/1000</f>
        <v>911.58043000000009</v>
      </c>
    </row>
    <row r="63" spans="2:11" ht="48" customHeight="1" x14ac:dyDescent="0.25">
      <c r="B63" s="163"/>
      <c r="C63" s="165"/>
      <c r="D63" s="165"/>
      <c r="E63" s="165"/>
      <c r="F63" s="165"/>
      <c r="G63" s="11" t="s">
        <v>337</v>
      </c>
      <c r="H63" s="12">
        <f>911580.43/1000</f>
        <v>911.58043000000009</v>
      </c>
      <c r="I63" s="169"/>
      <c r="J63" s="11" t="s">
        <v>26</v>
      </c>
      <c r="K63" s="61" t="s">
        <v>26</v>
      </c>
    </row>
    <row r="64" spans="2:11" ht="27" customHeight="1" x14ac:dyDescent="0.25">
      <c r="B64" s="163"/>
      <c r="C64" s="191" t="s">
        <v>343</v>
      </c>
      <c r="D64" s="180"/>
      <c r="E64" s="12" t="s">
        <v>26</v>
      </c>
      <c r="F64" s="12">
        <f t="shared" ref="F64:F73" si="8">H64</f>
        <v>134.44314</v>
      </c>
      <c r="G64" s="12" t="s">
        <v>26</v>
      </c>
      <c r="H64" s="14">
        <v>134.44314</v>
      </c>
      <c r="I64" s="12">
        <f t="shared" ref="I64:I73" si="9">K64</f>
        <v>134.44314</v>
      </c>
      <c r="J64" s="12" t="s">
        <v>26</v>
      </c>
      <c r="K64" s="19">
        <v>134.44314</v>
      </c>
    </row>
    <row r="65" spans="2:11" ht="27" customHeight="1" x14ac:dyDescent="0.25">
      <c r="B65" s="163"/>
      <c r="C65" s="191" t="s">
        <v>344</v>
      </c>
      <c r="D65" s="180"/>
      <c r="E65" s="12" t="s">
        <v>26</v>
      </c>
      <c r="F65" s="12">
        <f t="shared" si="8"/>
        <v>102.93594999999999</v>
      </c>
      <c r="G65" s="12" t="s">
        <v>26</v>
      </c>
      <c r="H65" s="14">
        <f>102935.95/1000</f>
        <v>102.93594999999999</v>
      </c>
      <c r="I65" s="12">
        <f t="shared" si="9"/>
        <v>102.93594999999999</v>
      </c>
      <c r="J65" s="12" t="s">
        <v>26</v>
      </c>
      <c r="K65" s="19">
        <f>102935.95/1000</f>
        <v>102.93594999999999</v>
      </c>
    </row>
    <row r="66" spans="2:11" ht="27" customHeight="1" x14ac:dyDescent="0.25">
      <c r="B66" s="163"/>
      <c r="C66" s="191" t="s">
        <v>345</v>
      </c>
      <c r="D66" s="180"/>
      <c r="E66" s="12" t="s">
        <v>26</v>
      </c>
      <c r="F66" s="12">
        <f t="shared" si="8"/>
        <v>162.27289000000002</v>
      </c>
      <c r="G66" s="12" t="s">
        <v>26</v>
      </c>
      <c r="H66" s="12">
        <f>162272.89/1000</f>
        <v>162.27289000000002</v>
      </c>
      <c r="I66" s="21">
        <f t="shared" si="9"/>
        <v>162.27289000000002</v>
      </c>
      <c r="J66" s="12" t="s">
        <v>26</v>
      </c>
      <c r="K66" s="19">
        <f>162272.89/1000</f>
        <v>162.27289000000002</v>
      </c>
    </row>
    <row r="67" spans="2:11" ht="47.25" customHeight="1" x14ac:dyDescent="0.25">
      <c r="B67" s="163"/>
      <c r="C67" s="179" t="s">
        <v>56</v>
      </c>
      <c r="D67" s="180"/>
      <c r="E67" s="11" t="s">
        <v>26</v>
      </c>
      <c r="F67" s="12">
        <f t="shared" si="8"/>
        <v>216.57794000000001</v>
      </c>
      <c r="G67" s="11" t="s">
        <v>26</v>
      </c>
      <c r="H67" s="12">
        <v>216.57794000000001</v>
      </c>
      <c r="I67" s="20">
        <f>K67</f>
        <v>390.92167000000001</v>
      </c>
      <c r="J67" s="11" t="s">
        <v>26</v>
      </c>
      <c r="K67" s="24">
        <f>209.11142+181.81025</f>
        <v>390.92167000000001</v>
      </c>
    </row>
    <row r="68" spans="2:11" ht="47.25" customHeight="1" x14ac:dyDescent="0.25">
      <c r="B68" s="163"/>
      <c r="C68" s="179" t="s">
        <v>57</v>
      </c>
      <c r="D68" s="180"/>
      <c r="E68" s="11" t="s">
        <v>26</v>
      </c>
      <c r="F68" s="12">
        <f t="shared" si="8"/>
        <v>210.67076999999998</v>
      </c>
      <c r="G68" s="13" t="s">
        <v>26</v>
      </c>
      <c r="H68" s="14">
        <f>210670.77/1000</f>
        <v>210.67076999999998</v>
      </c>
      <c r="I68" s="20">
        <f t="shared" ref="I68:I69" si="10">K68</f>
        <v>184.38218000000001</v>
      </c>
      <c r="J68" s="13" t="s">
        <v>26</v>
      </c>
      <c r="K68" s="25">
        <f>(169952.09+14430.09)/1000</f>
        <v>184.38218000000001</v>
      </c>
    </row>
    <row r="69" spans="2:11" ht="55.5" customHeight="1" x14ac:dyDescent="0.25">
      <c r="B69" s="163"/>
      <c r="C69" s="179" t="s">
        <v>58</v>
      </c>
      <c r="D69" s="180"/>
      <c r="E69" s="11" t="s">
        <v>26</v>
      </c>
      <c r="F69" s="12">
        <f t="shared" si="8"/>
        <v>153.56925000000001</v>
      </c>
      <c r="G69" s="13" t="s">
        <v>26</v>
      </c>
      <c r="H69" s="14">
        <f>153569.25/1000</f>
        <v>153.56925000000001</v>
      </c>
      <c r="I69" s="20">
        <f t="shared" si="10"/>
        <v>140.20877000000002</v>
      </c>
      <c r="J69" s="13" t="s">
        <v>26</v>
      </c>
      <c r="K69" s="25">
        <f>(130094.46+10114.31)/1000</f>
        <v>140.20877000000002</v>
      </c>
    </row>
    <row r="70" spans="2:11" ht="31.5" customHeight="1" x14ac:dyDescent="0.25">
      <c r="B70" s="163"/>
      <c r="C70" s="179" t="s">
        <v>65</v>
      </c>
      <c r="D70" s="180"/>
      <c r="E70" s="11" t="s">
        <v>26</v>
      </c>
      <c r="F70" s="12">
        <f t="shared" si="8"/>
        <v>911.60294350000004</v>
      </c>
      <c r="G70" s="13" t="s">
        <v>26</v>
      </c>
      <c r="H70" s="12">
        <v>911.60294350000004</v>
      </c>
      <c r="I70" s="12">
        <f t="shared" si="9"/>
        <v>911.60294350000004</v>
      </c>
      <c r="J70" s="13" t="s">
        <v>26</v>
      </c>
      <c r="K70" s="17">
        <v>911.60294350000004</v>
      </c>
    </row>
    <row r="71" spans="2:11" ht="31.5" customHeight="1" x14ac:dyDescent="0.25">
      <c r="B71" s="163"/>
      <c r="C71" s="179" t="s">
        <v>66</v>
      </c>
      <c r="D71" s="180"/>
      <c r="E71" s="11" t="s">
        <v>26</v>
      </c>
      <c r="F71" s="12">
        <f t="shared" si="8"/>
        <v>653.24639999999999</v>
      </c>
      <c r="G71" s="11" t="s">
        <v>26</v>
      </c>
      <c r="H71" s="12">
        <f>653246.4/1000</f>
        <v>653.24639999999999</v>
      </c>
      <c r="I71" s="12">
        <f t="shared" si="9"/>
        <v>653.24639999999999</v>
      </c>
      <c r="J71" s="11" t="s">
        <v>26</v>
      </c>
      <c r="K71" s="17">
        <f>653246.4/1000</f>
        <v>653.24639999999999</v>
      </c>
    </row>
    <row r="72" spans="2:11" ht="31.5" customHeight="1" thickBot="1" x14ac:dyDescent="0.3">
      <c r="B72" s="151"/>
      <c r="C72" s="189" t="s">
        <v>353</v>
      </c>
      <c r="D72" s="190"/>
      <c r="E72" s="29" t="s">
        <v>26</v>
      </c>
      <c r="F72" s="30">
        <f t="shared" si="8"/>
        <v>680.64062000000001</v>
      </c>
      <c r="G72" s="29" t="s">
        <v>26</v>
      </c>
      <c r="H72" s="30">
        <f>680640.62/1000</f>
        <v>680.64062000000001</v>
      </c>
      <c r="I72" s="103">
        <f t="shared" si="9"/>
        <v>680.64062000000001</v>
      </c>
      <c r="J72" s="29" t="s">
        <v>26</v>
      </c>
      <c r="K72" s="51">
        <f>680640.62/1000</f>
        <v>680.64062000000001</v>
      </c>
    </row>
    <row r="73" spans="2:11" ht="58.5" customHeight="1" thickBot="1" x14ac:dyDescent="0.3">
      <c r="B73" s="45" t="s">
        <v>354</v>
      </c>
      <c r="C73" s="194" t="s">
        <v>58</v>
      </c>
      <c r="D73" s="166"/>
      <c r="E73" s="63" t="s">
        <v>26</v>
      </c>
      <c r="F73" s="37">
        <f t="shared" si="8"/>
        <v>37.987650000000002</v>
      </c>
      <c r="G73" s="63"/>
      <c r="H73" s="37">
        <f>37987.65/1000</f>
        <v>37.987650000000002</v>
      </c>
      <c r="I73" s="64">
        <f t="shared" si="9"/>
        <v>142.96204</v>
      </c>
      <c r="J73" s="35" t="s">
        <v>26</v>
      </c>
      <c r="K73" s="65">
        <f>(132015.67+10946.37)/1000</f>
        <v>142.96204</v>
      </c>
    </row>
    <row r="74" spans="2:11" ht="45" x14ac:dyDescent="0.25">
      <c r="B74" s="150" t="s">
        <v>355</v>
      </c>
      <c r="C74" s="34" t="s">
        <v>43</v>
      </c>
      <c r="D74" s="34" t="s">
        <v>44</v>
      </c>
      <c r="E74" s="56" t="s">
        <v>26</v>
      </c>
      <c r="F74" s="35">
        <f>H74</f>
        <v>65.574100000000001</v>
      </c>
      <c r="G74" s="35" t="s">
        <v>239</v>
      </c>
      <c r="H74" s="35">
        <v>65.574100000000001</v>
      </c>
      <c r="I74" s="43" t="str">
        <f>K74</f>
        <v>__</v>
      </c>
      <c r="J74" s="35" t="s">
        <v>26</v>
      </c>
      <c r="K74" s="36" t="s">
        <v>26</v>
      </c>
    </row>
    <row r="75" spans="2:11" ht="45" x14ac:dyDescent="0.25">
      <c r="B75" s="163"/>
      <c r="C75" s="11" t="s">
        <v>43</v>
      </c>
      <c r="D75" s="11" t="s">
        <v>44</v>
      </c>
      <c r="E75" s="57" t="s">
        <v>26</v>
      </c>
      <c r="F75" s="14">
        <f>H75</f>
        <v>11.35797</v>
      </c>
      <c r="G75" s="12" t="s">
        <v>239</v>
      </c>
      <c r="H75" s="12">
        <v>11.35797</v>
      </c>
      <c r="I75" s="21" t="str">
        <f>K75</f>
        <v>__</v>
      </c>
      <c r="J75" s="14" t="s">
        <v>26</v>
      </c>
      <c r="K75" s="19" t="s">
        <v>26</v>
      </c>
    </row>
    <row r="76" spans="2:11" ht="51.75" customHeight="1" x14ac:dyDescent="0.25">
      <c r="B76" s="163"/>
      <c r="C76" s="164" t="s">
        <v>380</v>
      </c>
      <c r="D76" s="164" t="s">
        <v>381</v>
      </c>
      <c r="E76" s="168">
        <v>1766.16</v>
      </c>
      <c r="F76" s="168">
        <f>H76+H77</f>
        <v>553.86464999999998</v>
      </c>
      <c r="G76" s="168" t="s">
        <v>382</v>
      </c>
      <c r="H76" s="168">
        <f>553864.65/1000</f>
        <v>553.86464999999998</v>
      </c>
      <c r="I76" s="168">
        <f>K76</f>
        <v>1766.16</v>
      </c>
      <c r="J76" s="168" t="s">
        <v>383</v>
      </c>
      <c r="K76" s="197">
        <v>1766.16</v>
      </c>
    </row>
    <row r="77" spans="2:11" ht="51.75" customHeight="1" x14ac:dyDescent="0.25">
      <c r="B77" s="163"/>
      <c r="C77" s="165"/>
      <c r="D77" s="165"/>
      <c r="E77" s="156"/>
      <c r="F77" s="156"/>
      <c r="G77" s="156"/>
      <c r="H77" s="156"/>
      <c r="I77" s="156"/>
      <c r="J77" s="156"/>
      <c r="K77" s="199"/>
    </row>
    <row r="78" spans="2:11" ht="49.5" customHeight="1" x14ac:dyDescent="0.25">
      <c r="B78" s="163"/>
      <c r="C78" s="164" t="s">
        <v>385</v>
      </c>
      <c r="D78" s="164" t="s">
        <v>386</v>
      </c>
      <c r="E78" s="168">
        <f>9919946.91/1000</f>
        <v>9919.9469100000006</v>
      </c>
      <c r="F78" s="168">
        <f>H78+H79+H80</f>
        <v>9919.9469099999988</v>
      </c>
      <c r="G78" s="14" t="s">
        <v>387</v>
      </c>
      <c r="H78" s="14">
        <v>4959.9734500000004</v>
      </c>
      <c r="I78" s="168">
        <f>K78</f>
        <v>9919.9469100000006</v>
      </c>
      <c r="J78" s="12" t="s">
        <v>388</v>
      </c>
      <c r="K78" s="17">
        <f>9919946.91/1000</f>
        <v>9919.9469100000006</v>
      </c>
    </row>
    <row r="79" spans="2:11" ht="49.5" customHeight="1" x14ac:dyDescent="0.25">
      <c r="B79" s="163"/>
      <c r="C79" s="161"/>
      <c r="D79" s="161"/>
      <c r="E79" s="169"/>
      <c r="F79" s="169"/>
      <c r="G79" s="14" t="s">
        <v>389</v>
      </c>
      <c r="H79" s="14">
        <f>3004590.57/1000</f>
        <v>3004.5905699999998</v>
      </c>
      <c r="I79" s="169"/>
      <c r="J79" s="14" t="s">
        <v>26</v>
      </c>
      <c r="K79" s="19" t="s">
        <v>26</v>
      </c>
    </row>
    <row r="80" spans="2:11" ht="49.5" customHeight="1" x14ac:dyDescent="0.25">
      <c r="B80" s="163"/>
      <c r="C80" s="165"/>
      <c r="D80" s="165"/>
      <c r="E80" s="156"/>
      <c r="F80" s="156"/>
      <c r="G80" s="14" t="s">
        <v>390</v>
      </c>
      <c r="H80" s="14">
        <f>1955382.89/1000</f>
        <v>1955.3828899999999</v>
      </c>
      <c r="I80" s="156"/>
      <c r="J80" s="14" t="s">
        <v>26</v>
      </c>
      <c r="K80" s="19" t="s">
        <v>26</v>
      </c>
    </row>
    <row r="81" spans="2:11" ht="32.25" customHeight="1" x14ac:dyDescent="0.25">
      <c r="B81" s="163"/>
      <c r="C81" s="164" t="s">
        <v>391</v>
      </c>
      <c r="D81" s="164" t="s">
        <v>392</v>
      </c>
      <c r="E81" s="168">
        <v>4500</v>
      </c>
      <c r="F81" s="168">
        <f>H81</f>
        <v>3150</v>
      </c>
      <c r="G81" s="12" t="s">
        <v>393</v>
      </c>
      <c r="H81" s="12">
        <f>3150000/1000</f>
        <v>3150</v>
      </c>
      <c r="I81" s="168">
        <f>K81+K82</f>
        <v>4500</v>
      </c>
      <c r="J81" s="168" t="s">
        <v>394</v>
      </c>
      <c r="K81" s="197">
        <f>4500000/1000</f>
        <v>4500</v>
      </c>
    </row>
    <row r="82" spans="2:11" ht="32.25" customHeight="1" x14ac:dyDescent="0.25">
      <c r="B82" s="163"/>
      <c r="C82" s="165"/>
      <c r="D82" s="165"/>
      <c r="E82" s="156"/>
      <c r="F82" s="156"/>
      <c r="G82" s="14" t="s">
        <v>26</v>
      </c>
      <c r="H82" s="12" t="s">
        <v>26</v>
      </c>
      <c r="I82" s="200"/>
      <c r="J82" s="156"/>
      <c r="K82" s="199"/>
    </row>
    <row r="83" spans="2:11" ht="47.25" customHeight="1" x14ac:dyDescent="0.25">
      <c r="B83" s="163"/>
      <c r="C83" s="11" t="s">
        <v>396</v>
      </c>
      <c r="D83" s="22" t="s">
        <v>397</v>
      </c>
      <c r="E83" s="14">
        <f>3788600/1000</f>
        <v>3788.6</v>
      </c>
      <c r="F83" s="14" t="str">
        <f>H83</f>
        <v>__</v>
      </c>
      <c r="G83" s="14" t="s">
        <v>26</v>
      </c>
      <c r="H83" s="14" t="s">
        <v>26</v>
      </c>
      <c r="I83" s="21">
        <f t="shared" ref="I83:I86" si="11">K83</f>
        <v>3788.6</v>
      </c>
      <c r="J83" s="12" t="s">
        <v>399</v>
      </c>
      <c r="K83" s="19">
        <f>3788600/1000</f>
        <v>3788.6</v>
      </c>
    </row>
    <row r="84" spans="2:11" ht="42.75" customHeight="1" x14ac:dyDescent="0.25">
      <c r="B84" s="163"/>
      <c r="C84" s="11" t="s">
        <v>43</v>
      </c>
      <c r="D84" s="11" t="s">
        <v>44</v>
      </c>
      <c r="E84" s="57" t="s">
        <v>26</v>
      </c>
      <c r="F84" s="14" t="str">
        <f>H84</f>
        <v>__</v>
      </c>
      <c r="G84" s="14" t="s">
        <v>26</v>
      </c>
      <c r="H84" s="14" t="s">
        <v>26</v>
      </c>
      <c r="I84" s="21">
        <f t="shared" si="11"/>
        <v>105.70194000000001</v>
      </c>
      <c r="J84" s="12" t="s">
        <v>400</v>
      </c>
      <c r="K84" s="17">
        <f>105701.94/1000</f>
        <v>105.70194000000001</v>
      </c>
    </row>
    <row r="85" spans="2:11" ht="32.25" customHeight="1" x14ac:dyDescent="0.25">
      <c r="B85" s="163"/>
      <c r="C85" s="179" t="s">
        <v>199</v>
      </c>
      <c r="D85" s="180"/>
      <c r="E85" s="53" t="s">
        <v>26</v>
      </c>
      <c r="F85" s="14">
        <f>H85</f>
        <v>2.85</v>
      </c>
      <c r="G85" s="14" t="s">
        <v>401</v>
      </c>
      <c r="H85" s="12">
        <f>2850/1000</f>
        <v>2.85</v>
      </c>
      <c r="I85" s="89">
        <f t="shared" si="11"/>
        <v>2.85</v>
      </c>
      <c r="J85" s="14" t="s">
        <v>26</v>
      </c>
      <c r="K85" s="19">
        <f>2850/1000</f>
        <v>2.85</v>
      </c>
    </row>
    <row r="86" spans="2:11" ht="42.75" customHeight="1" thickBot="1" x14ac:dyDescent="0.3">
      <c r="B86" s="151"/>
      <c r="C86" s="29" t="s">
        <v>250</v>
      </c>
      <c r="D86" s="102" t="s">
        <v>402</v>
      </c>
      <c r="E86" s="54">
        <f>268000/1000</f>
        <v>268</v>
      </c>
      <c r="F86" s="39" t="str">
        <f>H86</f>
        <v>__</v>
      </c>
      <c r="G86" s="39" t="s">
        <v>26</v>
      </c>
      <c r="H86" s="39" t="s">
        <v>26</v>
      </c>
      <c r="I86" s="39">
        <f t="shared" si="11"/>
        <v>268</v>
      </c>
      <c r="J86" s="39" t="s">
        <v>404</v>
      </c>
      <c r="K86" s="55">
        <f>268000/1000</f>
        <v>268</v>
      </c>
    </row>
    <row r="87" spans="2:11" ht="42" customHeight="1" x14ac:dyDescent="0.25">
      <c r="B87" s="150" t="s">
        <v>417</v>
      </c>
      <c r="C87" s="160" t="s">
        <v>421</v>
      </c>
      <c r="D87" s="160" t="s">
        <v>422</v>
      </c>
      <c r="E87" s="160">
        <v>129747.353</v>
      </c>
      <c r="F87" s="155">
        <f>H87+H88</f>
        <v>114604.09714</v>
      </c>
      <c r="G87" s="35" t="s">
        <v>425</v>
      </c>
      <c r="H87" s="35">
        <v>19604.097140000002</v>
      </c>
      <c r="I87" s="155" t="s">
        <v>26</v>
      </c>
      <c r="J87" s="35" t="s">
        <v>26</v>
      </c>
      <c r="K87" s="36" t="s">
        <v>26</v>
      </c>
    </row>
    <row r="88" spans="2:11" ht="42" customHeight="1" x14ac:dyDescent="0.25">
      <c r="B88" s="163"/>
      <c r="C88" s="165"/>
      <c r="D88" s="165"/>
      <c r="E88" s="165"/>
      <c r="F88" s="165"/>
      <c r="G88" s="12" t="s">
        <v>427</v>
      </c>
      <c r="H88" s="12">
        <v>95000</v>
      </c>
      <c r="I88" s="200"/>
      <c r="J88" s="14" t="s">
        <v>26</v>
      </c>
      <c r="K88" s="19" t="s">
        <v>26</v>
      </c>
    </row>
    <row r="89" spans="2:11" ht="50.25" customHeight="1" x14ac:dyDescent="0.25">
      <c r="B89" s="163"/>
      <c r="C89" s="164" t="s">
        <v>27</v>
      </c>
      <c r="D89" s="164" t="s">
        <v>28</v>
      </c>
      <c r="E89" s="164" t="s">
        <v>29</v>
      </c>
      <c r="F89" s="168">
        <f>H89+H90+H91</f>
        <v>3143.7695400000002</v>
      </c>
      <c r="G89" s="11" t="s">
        <v>467</v>
      </c>
      <c r="H89" s="12">
        <v>1047.92318</v>
      </c>
      <c r="I89" s="168">
        <f>K90+K91</f>
        <v>2095.84636</v>
      </c>
      <c r="J89" s="12" t="s">
        <v>26</v>
      </c>
      <c r="K89" s="17" t="s">
        <v>26</v>
      </c>
    </row>
    <row r="90" spans="2:11" ht="50.25" customHeight="1" x14ac:dyDescent="0.25">
      <c r="B90" s="163"/>
      <c r="C90" s="161"/>
      <c r="D90" s="161"/>
      <c r="E90" s="161"/>
      <c r="F90" s="161"/>
      <c r="G90" s="13" t="s">
        <v>468</v>
      </c>
      <c r="H90" s="14">
        <v>1047.92318</v>
      </c>
      <c r="I90" s="169"/>
      <c r="J90" s="14" t="s">
        <v>39</v>
      </c>
      <c r="K90" s="19">
        <v>1047.92318</v>
      </c>
    </row>
    <row r="91" spans="2:11" ht="50.25" customHeight="1" x14ac:dyDescent="0.25">
      <c r="B91" s="163"/>
      <c r="C91" s="165"/>
      <c r="D91" s="165"/>
      <c r="E91" s="165"/>
      <c r="F91" s="165"/>
      <c r="G91" s="13" t="s">
        <v>469</v>
      </c>
      <c r="H91" s="14">
        <f>1047923.18/1000</f>
        <v>1047.92318</v>
      </c>
      <c r="I91" s="156"/>
      <c r="J91" s="14" t="s">
        <v>41</v>
      </c>
      <c r="K91" s="19">
        <f>1047923.18/1000</f>
        <v>1047.92318</v>
      </c>
    </row>
    <row r="92" spans="2:11" ht="46.5" customHeight="1" x14ac:dyDescent="0.25">
      <c r="B92" s="163"/>
      <c r="C92" s="13" t="s">
        <v>471</v>
      </c>
      <c r="D92" s="13" t="s">
        <v>472</v>
      </c>
      <c r="E92" s="53">
        <v>51.372</v>
      </c>
      <c r="F92" s="14">
        <f t="shared" ref="F92:F103" si="12">H92</f>
        <v>51.372</v>
      </c>
      <c r="G92" s="14" t="s">
        <v>26</v>
      </c>
      <c r="H92" s="14">
        <v>51.372</v>
      </c>
      <c r="I92" s="14" t="s">
        <v>26</v>
      </c>
      <c r="J92" s="14" t="s">
        <v>26</v>
      </c>
      <c r="K92" s="19" t="s">
        <v>26</v>
      </c>
    </row>
    <row r="93" spans="2:11" ht="45" customHeight="1" x14ac:dyDescent="0.25">
      <c r="B93" s="163"/>
      <c r="C93" s="179" t="s">
        <v>56</v>
      </c>
      <c r="D93" s="180"/>
      <c r="E93" s="23" t="s">
        <v>26</v>
      </c>
      <c r="F93" s="26">
        <f t="shared" si="12"/>
        <v>269.86412999999999</v>
      </c>
      <c r="G93" s="23" t="s">
        <v>26</v>
      </c>
      <c r="H93" s="26">
        <v>269.86412999999999</v>
      </c>
      <c r="I93" s="26">
        <f t="shared" ref="I93" si="13">K93</f>
        <v>258.05716000000001</v>
      </c>
      <c r="J93" s="23" t="s">
        <v>26</v>
      </c>
      <c r="K93" s="16">
        <f>235.48754+22.56962</f>
        <v>258.05716000000001</v>
      </c>
    </row>
    <row r="94" spans="2:11" ht="45" customHeight="1" x14ac:dyDescent="0.25">
      <c r="B94" s="163"/>
      <c r="C94" s="179" t="s">
        <v>57</v>
      </c>
      <c r="D94" s="180"/>
      <c r="E94" s="23" t="s">
        <v>26</v>
      </c>
      <c r="F94" s="26">
        <f t="shared" si="12"/>
        <v>237.55785</v>
      </c>
      <c r="G94" s="23" t="s">
        <v>26</v>
      </c>
      <c r="H94" s="26">
        <f>237557.85/1000</f>
        <v>237.55785</v>
      </c>
      <c r="I94" s="26">
        <f>K94</f>
        <v>211.11372</v>
      </c>
      <c r="J94" s="23" t="s">
        <v>26</v>
      </c>
      <c r="K94" s="16">
        <f>(194699.63+16414.09)/1000</f>
        <v>211.11372</v>
      </c>
    </row>
    <row r="95" spans="2:11" ht="56.25" customHeight="1" x14ac:dyDescent="0.25">
      <c r="B95" s="163"/>
      <c r="C95" s="179" t="s">
        <v>58</v>
      </c>
      <c r="D95" s="180"/>
      <c r="E95" s="23" t="s">
        <v>26</v>
      </c>
      <c r="F95" s="26">
        <f t="shared" si="12"/>
        <v>171.58271999999999</v>
      </c>
      <c r="G95" s="23" t="s">
        <v>26</v>
      </c>
      <c r="H95" s="26">
        <f>171582.72/1000</f>
        <v>171.58271999999999</v>
      </c>
      <c r="I95" s="26">
        <f t="shared" ref="I95:I97" si="14">K95</f>
        <v>141.01521</v>
      </c>
      <c r="J95" s="23" t="s">
        <v>26</v>
      </c>
      <c r="K95" s="16">
        <f>(130759.22+10255.99)/1000</f>
        <v>141.01521</v>
      </c>
    </row>
    <row r="96" spans="2:11" ht="33.75" customHeight="1" x14ac:dyDescent="0.25">
      <c r="B96" s="163"/>
      <c r="C96" s="183" t="s">
        <v>65</v>
      </c>
      <c r="D96" s="183"/>
      <c r="E96" s="11" t="s">
        <v>26</v>
      </c>
      <c r="F96" s="12">
        <f t="shared" si="12"/>
        <v>91.981719999999996</v>
      </c>
      <c r="G96" s="11" t="s">
        <v>26</v>
      </c>
      <c r="H96" s="12">
        <v>91.981719999999996</v>
      </c>
      <c r="I96" s="12">
        <f t="shared" si="14"/>
        <v>91.981719999999996</v>
      </c>
      <c r="J96" s="11" t="s">
        <v>26</v>
      </c>
      <c r="K96" s="17">
        <v>91.981719999999996</v>
      </c>
    </row>
    <row r="97" spans="2:11" ht="33.75" customHeight="1" thickBot="1" x14ac:dyDescent="0.3">
      <c r="B97" s="151"/>
      <c r="C97" s="215" t="s">
        <v>66</v>
      </c>
      <c r="D97" s="215"/>
      <c r="E97" s="29" t="s">
        <v>26</v>
      </c>
      <c r="F97" s="30">
        <f t="shared" si="12"/>
        <v>92.825779999999995</v>
      </c>
      <c r="G97" s="29" t="s">
        <v>26</v>
      </c>
      <c r="H97" s="30">
        <f>92825.78/1000</f>
        <v>92.825779999999995</v>
      </c>
      <c r="I97" s="30">
        <f t="shared" si="14"/>
        <v>92.825779999999995</v>
      </c>
      <c r="J97" s="29" t="s">
        <v>26</v>
      </c>
      <c r="K97" s="51">
        <f>92825.78/1000</f>
        <v>92.825779999999995</v>
      </c>
    </row>
    <row r="98" spans="2:11" ht="48" customHeight="1" x14ac:dyDescent="0.25">
      <c r="B98" s="150" t="s">
        <v>493</v>
      </c>
      <c r="C98" s="160" t="s">
        <v>27</v>
      </c>
      <c r="D98" s="160" t="s">
        <v>28</v>
      </c>
      <c r="E98" s="160" t="s">
        <v>29</v>
      </c>
      <c r="F98" s="155">
        <f>H98+H99+H100</f>
        <v>110.9859</v>
      </c>
      <c r="G98" s="34" t="s">
        <v>494</v>
      </c>
      <c r="H98" s="35">
        <v>36.9953</v>
      </c>
      <c r="I98" s="155">
        <f>K99+K100</f>
        <v>73.990600000000001</v>
      </c>
      <c r="J98" s="34" t="s">
        <v>26</v>
      </c>
      <c r="K98" s="104" t="s">
        <v>26</v>
      </c>
    </row>
    <row r="99" spans="2:11" ht="48" customHeight="1" x14ac:dyDescent="0.25">
      <c r="B99" s="163"/>
      <c r="C99" s="161"/>
      <c r="D99" s="161"/>
      <c r="E99" s="161"/>
      <c r="F99" s="161"/>
      <c r="G99" s="11" t="s">
        <v>495</v>
      </c>
      <c r="H99" s="12">
        <v>36.9953</v>
      </c>
      <c r="I99" s="169"/>
      <c r="J99" s="14" t="s">
        <v>39</v>
      </c>
      <c r="K99" s="19">
        <v>36.9953</v>
      </c>
    </row>
    <row r="100" spans="2:11" ht="48" customHeight="1" x14ac:dyDescent="0.25">
      <c r="B100" s="163"/>
      <c r="C100" s="161"/>
      <c r="D100" s="161"/>
      <c r="E100" s="161"/>
      <c r="F100" s="161"/>
      <c r="G100" s="11" t="s">
        <v>496</v>
      </c>
      <c r="H100" s="12">
        <f>36995.3/1000</f>
        <v>36.9953</v>
      </c>
      <c r="I100" s="169"/>
      <c r="J100" s="14" t="s">
        <v>41</v>
      </c>
      <c r="K100" s="17">
        <f>36995.3/1000</f>
        <v>36.9953</v>
      </c>
    </row>
    <row r="101" spans="2:11" ht="33.75" customHeight="1" x14ac:dyDescent="0.25">
      <c r="B101" s="163"/>
      <c r="C101" s="183" t="s">
        <v>65</v>
      </c>
      <c r="D101" s="183"/>
      <c r="E101" s="11" t="s">
        <v>26</v>
      </c>
      <c r="F101" s="12">
        <f t="shared" ref="F101:F102" si="15">H101</f>
        <v>3.2472699999999999</v>
      </c>
      <c r="G101" s="11" t="s">
        <v>26</v>
      </c>
      <c r="H101" s="12">
        <v>3.2472699999999999</v>
      </c>
      <c r="I101" s="20">
        <f t="shared" ref="I101:I102" si="16">K101</f>
        <v>3.2472699999999999</v>
      </c>
      <c r="J101" s="12" t="s">
        <v>26</v>
      </c>
      <c r="K101" s="17">
        <v>3.2472699999999999</v>
      </c>
    </row>
    <row r="102" spans="2:11" ht="33.75" customHeight="1" thickBot="1" x14ac:dyDescent="0.3">
      <c r="B102" s="163"/>
      <c r="C102" s="183" t="s">
        <v>66</v>
      </c>
      <c r="D102" s="183"/>
      <c r="E102" s="11" t="s">
        <v>26</v>
      </c>
      <c r="F102" s="12">
        <f t="shared" si="15"/>
        <v>3.2770700000000001</v>
      </c>
      <c r="G102" s="11" t="s">
        <v>26</v>
      </c>
      <c r="H102" s="12">
        <f>3277.07/1000</f>
        <v>3.2770700000000001</v>
      </c>
      <c r="I102" s="20">
        <f t="shared" si="16"/>
        <v>3.2770700000000001</v>
      </c>
      <c r="J102" s="12" t="s">
        <v>26</v>
      </c>
      <c r="K102" s="17">
        <f>3277.07/1000</f>
        <v>3.2770700000000001</v>
      </c>
    </row>
    <row r="103" spans="2:11" ht="51.75" customHeight="1" x14ac:dyDescent="0.25">
      <c r="B103" s="150" t="s">
        <v>507</v>
      </c>
      <c r="C103" s="34" t="s">
        <v>43</v>
      </c>
      <c r="D103" s="34" t="s">
        <v>44</v>
      </c>
      <c r="E103" s="35" t="s">
        <v>26</v>
      </c>
      <c r="F103" s="35">
        <f t="shared" si="12"/>
        <v>90.999600000000001</v>
      </c>
      <c r="G103" s="35" t="s">
        <v>508</v>
      </c>
      <c r="H103" s="35">
        <v>90.999600000000001</v>
      </c>
      <c r="I103" s="43">
        <f>K103</f>
        <v>90.999600000000001</v>
      </c>
      <c r="J103" s="34" t="s">
        <v>509</v>
      </c>
      <c r="K103" s="36">
        <v>90.999600000000001</v>
      </c>
    </row>
    <row r="104" spans="2:11" ht="45" customHeight="1" x14ac:dyDescent="0.25">
      <c r="B104" s="163"/>
      <c r="C104" s="23" t="s">
        <v>510</v>
      </c>
      <c r="D104" s="23" t="s">
        <v>511</v>
      </c>
      <c r="E104" s="26">
        <f>818000.8/1000</f>
        <v>818.00080000000003</v>
      </c>
      <c r="F104" s="63" t="s">
        <v>26</v>
      </c>
      <c r="G104" s="63" t="s">
        <v>26</v>
      </c>
      <c r="H104" s="13" t="s">
        <v>26</v>
      </c>
      <c r="I104" s="12">
        <f>K104</f>
        <v>787.70030000000008</v>
      </c>
      <c r="J104" s="12" t="s">
        <v>514</v>
      </c>
      <c r="K104" s="17">
        <f>787700.3/1000</f>
        <v>787.70030000000008</v>
      </c>
    </row>
    <row r="105" spans="2:11" ht="51.75" customHeight="1" x14ac:dyDescent="0.25">
      <c r="B105" s="163"/>
      <c r="C105" s="179" t="s">
        <v>65</v>
      </c>
      <c r="D105" s="180"/>
      <c r="E105" s="11" t="s">
        <v>26</v>
      </c>
      <c r="F105" s="12">
        <f t="shared" ref="F105:F106" si="17">H105</f>
        <v>7.9875100000000003</v>
      </c>
      <c r="G105" s="11" t="s">
        <v>26</v>
      </c>
      <c r="H105" s="14">
        <v>7.9875100000000003</v>
      </c>
      <c r="I105" s="62">
        <f>K105</f>
        <v>7.9875100000000003</v>
      </c>
      <c r="J105" s="14" t="s">
        <v>26</v>
      </c>
      <c r="K105" s="19">
        <v>7.9875100000000003</v>
      </c>
    </row>
    <row r="106" spans="2:11" ht="51.75" customHeight="1" thickBot="1" x14ac:dyDescent="0.3">
      <c r="B106" s="151"/>
      <c r="C106" s="181" t="s">
        <v>353</v>
      </c>
      <c r="D106" s="182"/>
      <c r="E106" s="38" t="s">
        <v>26</v>
      </c>
      <c r="F106" s="39">
        <f t="shared" si="17"/>
        <v>70.16892</v>
      </c>
      <c r="G106" s="38" t="s">
        <v>26</v>
      </c>
      <c r="H106" s="30">
        <f>70168.92/1000</f>
        <v>70.16892</v>
      </c>
      <c r="I106" s="98">
        <f>K106</f>
        <v>70.16892</v>
      </c>
      <c r="J106" s="39" t="s">
        <v>26</v>
      </c>
      <c r="K106" s="55">
        <f>70168.92/1000</f>
        <v>70.16892</v>
      </c>
    </row>
    <row r="107" spans="2:11" ht="16.5" thickBot="1" x14ac:dyDescent="0.3">
      <c r="B107" s="154" t="s">
        <v>521</v>
      </c>
      <c r="C107" s="154"/>
      <c r="D107" s="154"/>
      <c r="E107" s="154"/>
      <c r="F107" s="99">
        <f>SUM(F53:F106)</f>
        <v>156503.63256350005</v>
      </c>
      <c r="G107" s="100"/>
      <c r="H107" s="99">
        <f>SUM(H53:H106)</f>
        <v>156503.63256350014</v>
      </c>
      <c r="I107" s="99">
        <f>SUM(I53:I106)</f>
        <v>52712.452913499983</v>
      </c>
      <c r="J107" s="100"/>
      <c r="K107" s="99">
        <f>SUM(K53:K106)</f>
        <v>52712.452913499983</v>
      </c>
    </row>
    <row r="108" spans="2:11" ht="35.25" customHeight="1" thickBot="1" x14ac:dyDescent="0.3">
      <c r="B108" s="154" t="s">
        <v>522</v>
      </c>
      <c r="C108" s="154"/>
      <c r="D108" s="154"/>
      <c r="E108" s="154"/>
      <c r="F108" s="99">
        <f>F51+F107</f>
        <v>190518.67760062587</v>
      </c>
      <c r="G108" s="100"/>
      <c r="H108" s="99">
        <f>H51+H107</f>
        <v>190491.66490353766</v>
      </c>
      <c r="I108" s="99">
        <f>I51+I107</f>
        <v>55725.702442749985</v>
      </c>
      <c r="J108" s="100"/>
      <c r="K108" s="99">
        <f>K51+K107</f>
        <v>55725.702442749985</v>
      </c>
    </row>
    <row r="112" spans="2:11" ht="15.75" x14ac:dyDescent="0.25">
      <c r="B112" s="111" t="s">
        <v>525</v>
      </c>
      <c r="C112" s="112"/>
      <c r="D112" s="112"/>
    </row>
    <row r="113" spans="2:4" ht="15.75" x14ac:dyDescent="0.25">
      <c r="B113" s="259" t="s">
        <v>526</v>
      </c>
      <c r="C113" s="259"/>
      <c r="D113" s="259"/>
    </row>
    <row r="114" spans="2:4" ht="15.75" x14ac:dyDescent="0.25">
      <c r="B114" s="111"/>
      <c r="C114" s="111"/>
      <c r="D114" s="112"/>
    </row>
    <row r="115" spans="2:4" ht="15.75" x14ac:dyDescent="0.25">
      <c r="B115" s="113" t="s">
        <v>527</v>
      </c>
      <c r="C115" s="114" t="s">
        <v>528</v>
      </c>
      <c r="D115" s="114" t="s">
        <v>529</v>
      </c>
    </row>
    <row r="116" spans="2:4" ht="45" x14ac:dyDescent="0.25">
      <c r="B116" s="115" t="s">
        <v>530</v>
      </c>
      <c r="C116" s="116">
        <v>55726</v>
      </c>
      <c r="D116" s="116">
        <v>190492</v>
      </c>
    </row>
    <row r="117" spans="2:4" x14ac:dyDescent="0.25">
      <c r="B117" s="115" t="s">
        <v>531</v>
      </c>
      <c r="C117" s="116">
        <v>186277</v>
      </c>
      <c r="D117" s="116">
        <v>186277</v>
      </c>
    </row>
    <row r="118" spans="2:4" x14ac:dyDescent="0.25">
      <c r="B118" s="115" t="s">
        <v>532</v>
      </c>
      <c r="C118" s="116">
        <v>69877</v>
      </c>
      <c r="D118" s="116">
        <v>69877</v>
      </c>
    </row>
    <row r="119" spans="2:4" ht="45" x14ac:dyDescent="0.25">
      <c r="B119" s="115" t="s">
        <v>533</v>
      </c>
      <c r="C119" s="117">
        <v>159</v>
      </c>
      <c r="D119" s="117">
        <v>159</v>
      </c>
    </row>
    <row r="120" spans="2:4" x14ac:dyDescent="0.25">
      <c r="B120" s="115" t="s">
        <v>534</v>
      </c>
      <c r="C120" s="116">
        <v>27691</v>
      </c>
      <c r="D120" s="116">
        <v>25749</v>
      </c>
    </row>
    <row r="121" spans="2:4" x14ac:dyDescent="0.25">
      <c r="B121" s="115" t="s">
        <v>535</v>
      </c>
      <c r="C121" s="116">
        <v>2796</v>
      </c>
      <c r="D121" s="116">
        <v>3677</v>
      </c>
    </row>
    <row r="122" spans="2:4" x14ac:dyDescent="0.25">
      <c r="B122" s="115" t="s">
        <v>536</v>
      </c>
      <c r="C122" s="117" t="s">
        <v>537</v>
      </c>
      <c r="D122" s="116">
        <v>17710</v>
      </c>
    </row>
    <row r="123" spans="2:4" ht="60" x14ac:dyDescent="0.25">
      <c r="B123" s="115" t="s">
        <v>538</v>
      </c>
      <c r="C123" s="116">
        <v>60125</v>
      </c>
      <c r="D123" s="116">
        <v>62034</v>
      </c>
    </row>
    <row r="124" spans="2:4" x14ac:dyDescent="0.25">
      <c r="B124" s="115" t="s">
        <v>539</v>
      </c>
      <c r="C124" s="116">
        <v>4133</v>
      </c>
      <c r="D124" s="116">
        <v>5438</v>
      </c>
    </row>
    <row r="125" spans="2:4" x14ac:dyDescent="0.25">
      <c r="B125" s="115" t="s">
        <v>540</v>
      </c>
      <c r="C125" s="117">
        <v>-837</v>
      </c>
      <c r="D125" s="116">
        <v>16167</v>
      </c>
    </row>
    <row r="126" spans="2:4" ht="30" x14ac:dyDescent="0.25">
      <c r="B126" s="115" t="s">
        <v>541</v>
      </c>
      <c r="C126" s="116">
        <v>8334</v>
      </c>
      <c r="D126" s="116">
        <v>27463</v>
      </c>
    </row>
    <row r="127" spans="2:4" x14ac:dyDescent="0.25">
      <c r="B127" s="115" t="s">
        <v>542</v>
      </c>
      <c r="C127" s="116">
        <v>9172</v>
      </c>
      <c r="D127" s="116">
        <v>11295</v>
      </c>
    </row>
  </sheetData>
  <mergeCells count="141"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B8:K8"/>
    <mergeCell ref="B9:B16"/>
    <mergeCell ref="C9:C11"/>
    <mergeCell ref="D9:D11"/>
    <mergeCell ref="E9:E11"/>
    <mergeCell ref="F9:F11"/>
    <mergeCell ref="I9:I11"/>
    <mergeCell ref="C12:D12"/>
    <mergeCell ref="C13:D13"/>
    <mergeCell ref="C14:D14"/>
    <mergeCell ref="C15:D15"/>
    <mergeCell ref="C16:D16"/>
    <mergeCell ref="B17:K17"/>
    <mergeCell ref="B19:K19"/>
    <mergeCell ref="B20:B23"/>
    <mergeCell ref="C20:C23"/>
    <mergeCell ref="D20:D23"/>
    <mergeCell ref="E20:E23"/>
    <mergeCell ref="F20:F23"/>
    <mergeCell ref="B24:B26"/>
    <mergeCell ref="C24:C26"/>
    <mergeCell ref="D24:D26"/>
    <mergeCell ref="E24:E26"/>
    <mergeCell ref="F24:F26"/>
    <mergeCell ref="B27:B30"/>
    <mergeCell ref="C27:C30"/>
    <mergeCell ref="D27:D30"/>
    <mergeCell ref="E27:E30"/>
    <mergeCell ref="F27:F30"/>
    <mergeCell ref="B31:B32"/>
    <mergeCell ref="C31:C32"/>
    <mergeCell ref="D31:D32"/>
    <mergeCell ref="E31:E32"/>
    <mergeCell ref="F31:F32"/>
    <mergeCell ref="B33:B35"/>
    <mergeCell ref="C33:D33"/>
    <mergeCell ref="C34:D34"/>
    <mergeCell ref="C35:D35"/>
    <mergeCell ref="B44:K44"/>
    <mergeCell ref="B45:B48"/>
    <mergeCell ref="I45:I48"/>
    <mergeCell ref="J45:J48"/>
    <mergeCell ref="K45:K48"/>
    <mergeCell ref="B49:K49"/>
    <mergeCell ref="B36:B38"/>
    <mergeCell ref="C36:D36"/>
    <mergeCell ref="C37:D37"/>
    <mergeCell ref="C38:D38"/>
    <mergeCell ref="B39:B41"/>
    <mergeCell ref="C39:D39"/>
    <mergeCell ref="C40:D40"/>
    <mergeCell ref="C41:D41"/>
    <mergeCell ref="C50:D50"/>
    <mergeCell ref="B51:E51"/>
    <mergeCell ref="B52:K52"/>
    <mergeCell ref="B53:B72"/>
    <mergeCell ref="C53:C59"/>
    <mergeCell ref="D53:D59"/>
    <mergeCell ref="E53:E59"/>
    <mergeCell ref="F53:F59"/>
    <mergeCell ref="I53:I59"/>
    <mergeCell ref="J56:J58"/>
    <mergeCell ref="C64:D64"/>
    <mergeCell ref="C65:D65"/>
    <mergeCell ref="C66:D66"/>
    <mergeCell ref="C67:D67"/>
    <mergeCell ref="C68:D68"/>
    <mergeCell ref="C69:D69"/>
    <mergeCell ref="K56:K58"/>
    <mergeCell ref="C61:C63"/>
    <mergeCell ref="D61:D63"/>
    <mergeCell ref="E61:E63"/>
    <mergeCell ref="F61:F63"/>
    <mergeCell ref="I61:I63"/>
    <mergeCell ref="C70:D70"/>
    <mergeCell ref="C71:D71"/>
    <mergeCell ref="C72:D72"/>
    <mergeCell ref="C73:D73"/>
    <mergeCell ref="B74:B86"/>
    <mergeCell ref="C76:C77"/>
    <mergeCell ref="D76:D77"/>
    <mergeCell ref="C81:C82"/>
    <mergeCell ref="D81:D82"/>
    <mergeCell ref="E81:E82"/>
    <mergeCell ref="F81:F82"/>
    <mergeCell ref="I81:I82"/>
    <mergeCell ref="J81:J82"/>
    <mergeCell ref="K81:K82"/>
    <mergeCell ref="C85:D85"/>
    <mergeCell ref="K76:K77"/>
    <mergeCell ref="C78:C80"/>
    <mergeCell ref="D78:D80"/>
    <mergeCell ref="E78:E80"/>
    <mergeCell ref="F78:F80"/>
    <mergeCell ref="I78:I80"/>
    <mergeCell ref="E76:E77"/>
    <mergeCell ref="F76:F77"/>
    <mergeCell ref="G76:G77"/>
    <mergeCell ref="H76:H77"/>
    <mergeCell ref="I76:I77"/>
    <mergeCell ref="J76:J77"/>
    <mergeCell ref="B87:B97"/>
    <mergeCell ref="C87:C88"/>
    <mergeCell ref="D87:D88"/>
    <mergeCell ref="E87:E88"/>
    <mergeCell ref="F87:F88"/>
    <mergeCell ref="I87:I88"/>
    <mergeCell ref="C89:C91"/>
    <mergeCell ref="D89:D91"/>
    <mergeCell ref="E89:E91"/>
    <mergeCell ref="F89:F91"/>
    <mergeCell ref="F98:F100"/>
    <mergeCell ref="I98:I100"/>
    <mergeCell ref="C101:D101"/>
    <mergeCell ref="C102:D102"/>
    <mergeCell ref="I89:I91"/>
    <mergeCell ref="C93:D93"/>
    <mergeCell ref="C94:D94"/>
    <mergeCell ref="C95:D95"/>
    <mergeCell ref="C96:D96"/>
    <mergeCell ref="C97:D97"/>
    <mergeCell ref="B113:D113"/>
    <mergeCell ref="B103:B106"/>
    <mergeCell ref="C105:D105"/>
    <mergeCell ref="C106:D106"/>
    <mergeCell ref="B107:E107"/>
    <mergeCell ref="B108:E108"/>
    <mergeCell ref="B98:B102"/>
    <mergeCell ref="C98:C100"/>
    <mergeCell ref="D98:D100"/>
    <mergeCell ref="E98:E100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253"/>
  <sheetViews>
    <sheetView view="pageBreakPreview" topLeftCell="A166" zoomScale="60" zoomScaleNormal="60" workbookViewId="0">
      <selection activeCell="B179" sqref="B179:E181"/>
    </sheetView>
  </sheetViews>
  <sheetFormatPr defaultRowHeight="15" x14ac:dyDescent="0.25"/>
  <cols>
    <col min="1" max="1" width="9.140625" style="3"/>
    <col min="2" max="2" width="48" style="1" customWidth="1"/>
    <col min="3" max="3" width="19.85546875" style="1" customWidth="1"/>
    <col min="4" max="4" width="14.28515625" style="1" customWidth="1"/>
    <col min="5" max="5" width="17.42578125" style="1" customWidth="1"/>
    <col min="6" max="6" width="18.28515625" style="1" customWidth="1"/>
    <col min="7" max="7" width="13.42578125" style="1" customWidth="1"/>
    <col min="8" max="8" width="17" style="1" customWidth="1"/>
    <col min="9" max="9" width="19.85546875" style="1" customWidth="1"/>
    <col min="10" max="11" width="16.85546875" style="1" customWidth="1"/>
    <col min="12" max="16384" width="9.140625" style="3"/>
  </cols>
  <sheetData>
    <row r="1" spans="2:11" x14ac:dyDescent="0.25">
      <c r="B1" s="2"/>
      <c r="C1" s="2"/>
      <c r="D1" s="2"/>
      <c r="E1" s="2"/>
      <c r="F1" s="2"/>
      <c r="G1" s="2"/>
      <c r="H1" s="2"/>
      <c r="I1" s="2"/>
      <c r="J1" s="2"/>
      <c r="K1" s="2"/>
    </row>
    <row r="2" spans="2:11" ht="15.75" x14ac:dyDescent="0.25">
      <c r="B2" s="240" t="s">
        <v>0</v>
      </c>
      <c r="C2" s="240"/>
      <c r="D2" s="240"/>
      <c r="E2" s="240"/>
      <c r="F2" s="240"/>
      <c r="G2" s="240"/>
      <c r="H2" s="240"/>
      <c r="I2" s="240"/>
      <c r="J2" s="240"/>
      <c r="K2" s="240"/>
    </row>
    <row r="3" spans="2:11" ht="15.75" x14ac:dyDescent="0.25">
      <c r="B3" s="241" t="s">
        <v>1</v>
      </c>
      <c r="C3" s="241"/>
      <c r="D3" s="241"/>
      <c r="E3" s="241"/>
      <c r="F3" s="241"/>
      <c r="G3" s="241"/>
      <c r="H3" s="241"/>
      <c r="I3" s="241"/>
      <c r="J3" s="241"/>
      <c r="K3" s="241"/>
    </row>
    <row r="4" spans="2:11" ht="15.75" x14ac:dyDescent="0.25">
      <c r="B4" s="242" t="s">
        <v>524</v>
      </c>
      <c r="C4" s="242"/>
      <c r="D4" s="242"/>
      <c r="E4" s="242"/>
      <c r="F4" s="242"/>
      <c r="G4" s="242"/>
      <c r="H4" s="242"/>
      <c r="I4" s="242"/>
      <c r="J4" s="242"/>
      <c r="K4" s="242"/>
    </row>
    <row r="5" spans="2:11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</row>
    <row r="6" spans="2:11" ht="27" customHeight="1" x14ac:dyDescent="0.25">
      <c r="B6" s="243" t="s">
        <v>3</v>
      </c>
      <c r="C6" s="245" t="s">
        <v>4</v>
      </c>
      <c r="D6" s="246"/>
      <c r="E6" s="247" t="s">
        <v>5</v>
      </c>
      <c r="F6" s="247" t="s">
        <v>6</v>
      </c>
      <c r="G6" s="249" t="s">
        <v>7</v>
      </c>
      <c r="H6" s="250"/>
      <c r="I6" s="251" t="s">
        <v>8</v>
      </c>
      <c r="J6" s="253" t="s">
        <v>9</v>
      </c>
      <c r="K6" s="254"/>
    </row>
    <row r="7" spans="2:11" ht="57.75" customHeight="1" thickBot="1" x14ac:dyDescent="0.3">
      <c r="B7" s="244"/>
      <c r="C7" s="5" t="s">
        <v>10</v>
      </c>
      <c r="D7" s="5" t="s">
        <v>11</v>
      </c>
      <c r="E7" s="248"/>
      <c r="F7" s="248"/>
      <c r="G7" s="6" t="s">
        <v>12</v>
      </c>
      <c r="H7" s="7" t="s">
        <v>13</v>
      </c>
      <c r="I7" s="252"/>
      <c r="J7" s="6" t="s">
        <v>12</v>
      </c>
      <c r="K7" s="8" t="s">
        <v>13</v>
      </c>
    </row>
    <row r="8" spans="2:11" ht="16.5" thickBot="1" x14ac:dyDescent="0.3">
      <c r="B8" s="255" t="s">
        <v>14</v>
      </c>
      <c r="C8" s="256"/>
      <c r="D8" s="256"/>
      <c r="E8" s="256"/>
      <c r="F8" s="256"/>
      <c r="G8" s="256"/>
      <c r="H8" s="256"/>
      <c r="I8" s="256"/>
      <c r="J8" s="256"/>
      <c r="K8" s="257"/>
    </row>
    <row r="9" spans="2:11" ht="45" hidden="1" customHeight="1" x14ac:dyDescent="0.25">
      <c r="B9" s="219" t="s">
        <v>15</v>
      </c>
      <c r="C9" s="160" t="s">
        <v>16</v>
      </c>
      <c r="D9" s="160" t="s">
        <v>17</v>
      </c>
      <c r="E9" s="155">
        <f>13830581/1000</f>
        <v>13830.581</v>
      </c>
      <c r="F9" s="49" t="str">
        <f t="shared" ref="F9:F10" si="0">H9</f>
        <v>__</v>
      </c>
      <c r="G9" s="12" t="s">
        <v>26</v>
      </c>
      <c r="H9" s="12" t="s">
        <v>26</v>
      </c>
      <c r="I9" s="155">
        <f>K9+K10</f>
        <v>6426.5245700000005</v>
      </c>
      <c r="J9" s="10"/>
      <c r="K9" s="97"/>
    </row>
    <row r="10" spans="2:11" ht="46.5" customHeight="1" x14ac:dyDescent="0.25">
      <c r="B10" s="220"/>
      <c r="C10" s="165"/>
      <c r="D10" s="165"/>
      <c r="E10" s="156"/>
      <c r="F10" s="105" t="str">
        <f t="shared" si="0"/>
        <v>__</v>
      </c>
      <c r="G10" s="12" t="s">
        <v>26</v>
      </c>
      <c r="H10" s="12" t="s">
        <v>26</v>
      </c>
      <c r="I10" s="156"/>
      <c r="J10" s="12" t="s">
        <v>24</v>
      </c>
      <c r="K10" s="17">
        <f>6426524.57/1000</f>
        <v>6426.5245700000005</v>
      </c>
    </row>
    <row r="11" spans="2:11" ht="45" hidden="1" customHeight="1" x14ac:dyDescent="0.25">
      <c r="B11" s="220"/>
      <c r="C11" s="183" t="s">
        <v>27</v>
      </c>
      <c r="D11" s="153" t="s">
        <v>28</v>
      </c>
      <c r="E11" s="168" t="s">
        <v>29</v>
      </c>
      <c r="F11" s="168">
        <f>H11+H12</f>
        <v>432.13709</v>
      </c>
      <c r="G11" s="13"/>
      <c r="H11" s="14"/>
      <c r="I11" s="168">
        <f>K11+K12</f>
        <v>128.636</v>
      </c>
      <c r="J11" s="14"/>
      <c r="K11" s="19"/>
    </row>
    <row r="12" spans="2:11" ht="50.25" customHeight="1" x14ac:dyDescent="0.25">
      <c r="B12" s="220"/>
      <c r="C12" s="183"/>
      <c r="D12" s="166"/>
      <c r="E12" s="169"/>
      <c r="F12" s="156"/>
      <c r="G12" s="11" t="s">
        <v>40</v>
      </c>
      <c r="H12" s="20">
        <f>432137.09/1000</f>
        <v>432.13709</v>
      </c>
      <c r="I12" s="169"/>
      <c r="J12" s="14" t="s">
        <v>42</v>
      </c>
      <c r="K12" s="19">
        <f>128636/1000</f>
        <v>128.636</v>
      </c>
    </row>
    <row r="13" spans="2:11" ht="50.25" customHeight="1" x14ac:dyDescent="0.25">
      <c r="B13" s="220"/>
      <c r="C13" s="11" t="s">
        <v>43</v>
      </c>
      <c r="D13" s="11" t="s">
        <v>44</v>
      </c>
      <c r="E13" s="11" t="s">
        <v>26</v>
      </c>
      <c r="F13" s="14">
        <f>H13</f>
        <v>6155</v>
      </c>
      <c r="G13" s="12" t="s">
        <v>45</v>
      </c>
      <c r="H13" s="12">
        <f>6155000/1000</f>
        <v>6155</v>
      </c>
      <c r="I13" s="21">
        <f t="shared" ref="I13:I20" si="1">K13</f>
        <v>6155</v>
      </c>
      <c r="J13" s="14" t="s">
        <v>46</v>
      </c>
      <c r="K13" s="19">
        <f>6155000/1000</f>
        <v>6155</v>
      </c>
    </row>
    <row r="14" spans="2:11" ht="50.25" customHeight="1" x14ac:dyDescent="0.25">
      <c r="B14" s="220"/>
      <c r="C14" s="11" t="s">
        <v>47</v>
      </c>
      <c r="D14" s="22" t="s">
        <v>48</v>
      </c>
      <c r="E14" s="14">
        <f>22690000/1000</f>
        <v>22690</v>
      </c>
      <c r="F14" s="49" t="str">
        <f t="shared" ref="F14:F18" si="2">H14</f>
        <v>__</v>
      </c>
      <c r="G14" s="12" t="s">
        <v>26</v>
      </c>
      <c r="H14" s="12" t="s">
        <v>26</v>
      </c>
      <c r="I14" s="21">
        <f>K14</f>
        <v>12562.21089</v>
      </c>
      <c r="J14" s="12" t="s">
        <v>49</v>
      </c>
      <c r="K14" s="17">
        <f>12562210.89/1000</f>
        <v>12562.21089</v>
      </c>
    </row>
    <row r="15" spans="2:11" ht="61.5" customHeight="1" x14ac:dyDescent="0.25">
      <c r="B15" s="220"/>
      <c r="C15" s="183" t="s">
        <v>59</v>
      </c>
      <c r="D15" s="183"/>
      <c r="E15" s="11" t="s">
        <v>26</v>
      </c>
      <c r="F15" s="12">
        <f t="shared" si="2"/>
        <v>63.886330000000001</v>
      </c>
      <c r="G15" s="11" t="s">
        <v>26</v>
      </c>
      <c r="H15" s="12">
        <f>63886.33/1000</f>
        <v>63.886330000000001</v>
      </c>
      <c r="I15" s="20">
        <f t="shared" si="1"/>
        <v>57.085590000000003</v>
      </c>
      <c r="J15" s="11" t="s">
        <v>26</v>
      </c>
      <c r="K15" s="24">
        <f>(53036.97+4048.62)/1000</f>
        <v>57.085590000000003</v>
      </c>
    </row>
    <row r="16" spans="2:11" ht="61.5" customHeight="1" x14ac:dyDescent="0.25">
      <c r="B16" s="220"/>
      <c r="C16" s="179" t="s">
        <v>60</v>
      </c>
      <c r="D16" s="180"/>
      <c r="E16" s="11" t="s">
        <v>26</v>
      </c>
      <c r="F16" s="12">
        <f t="shared" si="2"/>
        <v>52.963250000000002</v>
      </c>
      <c r="G16" s="11" t="s">
        <v>26</v>
      </c>
      <c r="H16" s="12">
        <f>52963.25/1000</f>
        <v>52.963250000000002</v>
      </c>
      <c r="I16" s="20">
        <f t="shared" si="1"/>
        <v>65.382260000000002</v>
      </c>
      <c r="J16" s="11" t="s">
        <v>26</v>
      </c>
      <c r="K16" s="24">
        <f>(60880.91+4501.35)/1000</f>
        <v>65.382260000000002</v>
      </c>
    </row>
    <row r="17" spans="2:11" ht="53.25" customHeight="1" x14ac:dyDescent="0.25">
      <c r="B17" s="220"/>
      <c r="C17" s="179" t="s">
        <v>61</v>
      </c>
      <c r="D17" s="180"/>
      <c r="E17" s="11" t="s">
        <v>26</v>
      </c>
      <c r="F17" s="12">
        <f t="shared" si="2"/>
        <v>68.476247828983702</v>
      </c>
      <c r="G17" s="11" t="s">
        <v>26</v>
      </c>
      <c r="H17" s="12">
        <f>68476.2478289837/1000</f>
        <v>68.476247828983702</v>
      </c>
      <c r="I17" s="20">
        <f t="shared" si="1"/>
        <v>88.05613000000001</v>
      </c>
      <c r="J17" s="11" t="s">
        <v>26</v>
      </c>
      <c r="K17" s="24">
        <f>88056.13/1000</f>
        <v>88.05613000000001</v>
      </c>
    </row>
    <row r="18" spans="2:11" ht="53.25" customHeight="1" x14ac:dyDescent="0.25">
      <c r="B18" s="220"/>
      <c r="C18" s="179" t="s">
        <v>62</v>
      </c>
      <c r="D18" s="180"/>
      <c r="E18" s="11" t="s">
        <v>26</v>
      </c>
      <c r="F18" s="12">
        <f t="shared" si="2"/>
        <v>0</v>
      </c>
      <c r="G18" s="11" t="s">
        <v>26</v>
      </c>
      <c r="H18" s="12">
        <v>0</v>
      </c>
      <c r="I18" s="20">
        <f t="shared" si="1"/>
        <v>-94.271749999999997</v>
      </c>
      <c r="J18" s="11" t="s">
        <v>26</v>
      </c>
      <c r="K18" s="24">
        <f>-94271.75/1000</f>
        <v>-94.271749999999997</v>
      </c>
    </row>
    <row r="19" spans="2:11" ht="33.75" customHeight="1" x14ac:dyDescent="0.25">
      <c r="B19" s="220"/>
      <c r="C19" s="164" t="s">
        <v>67</v>
      </c>
      <c r="D19" s="164"/>
      <c r="E19" s="23" t="s">
        <v>26</v>
      </c>
      <c r="F19" s="26">
        <f>H19</f>
        <v>558.90935000000002</v>
      </c>
      <c r="G19" s="23" t="s">
        <v>26</v>
      </c>
      <c r="H19" s="26">
        <f>558909.35/1000</f>
        <v>558.90935000000002</v>
      </c>
      <c r="I19" s="27">
        <f t="shared" si="1"/>
        <v>558.90935000000002</v>
      </c>
      <c r="J19" s="23" t="s">
        <v>26</v>
      </c>
      <c r="K19" s="28">
        <f>H19</f>
        <v>558.90935000000002</v>
      </c>
    </row>
    <row r="20" spans="2:11" ht="33.75" customHeight="1" thickBot="1" x14ac:dyDescent="0.3">
      <c r="B20" s="228"/>
      <c r="C20" s="215" t="s">
        <v>68</v>
      </c>
      <c r="D20" s="215"/>
      <c r="E20" s="29" t="s">
        <v>26</v>
      </c>
      <c r="F20" s="30">
        <f>H20</f>
        <v>1650.1364927755201</v>
      </c>
      <c r="G20" s="29" t="s">
        <v>26</v>
      </c>
      <c r="H20" s="30">
        <f>1650136.49277552/1000</f>
        <v>1650.1364927755201</v>
      </c>
      <c r="I20" s="31">
        <f t="shared" si="1"/>
        <v>1650.1364927755201</v>
      </c>
      <c r="J20" s="29" t="s">
        <v>26</v>
      </c>
      <c r="K20" s="32">
        <f>H20</f>
        <v>1650.1364927755201</v>
      </c>
    </row>
    <row r="21" spans="2:11" ht="16.5" thickBot="1" x14ac:dyDescent="0.3">
      <c r="B21" s="205"/>
      <c r="C21" s="206"/>
      <c r="D21" s="206"/>
      <c r="E21" s="206"/>
      <c r="F21" s="206"/>
      <c r="G21" s="206"/>
      <c r="H21" s="206"/>
      <c r="I21" s="206"/>
      <c r="J21" s="206"/>
      <c r="K21" s="207"/>
    </row>
    <row r="22" spans="2:11" ht="53.25" customHeight="1" thickBot="1" x14ac:dyDescent="0.3">
      <c r="B22" s="75" t="s">
        <v>75</v>
      </c>
      <c r="C22" s="223" t="s">
        <v>61</v>
      </c>
      <c r="D22" s="224"/>
      <c r="E22" s="70" t="s">
        <v>26</v>
      </c>
      <c r="F22" s="72">
        <f t="shared" ref="F22" si="3">H22</f>
        <v>161.73014999999998</v>
      </c>
      <c r="G22" s="70" t="s">
        <v>26</v>
      </c>
      <c r="H22" s="72">
        <f>K22</f>
        <v>161.73014999999998</v>
      </c>
      <c r="I22" s="71">
        <f t="shared" ref="I22" si="4">K22</f>
        <v>161.73014999999998</v>
      </c>
      <c r="J22" s="70" t="s">
        <v>26</v>
      </c>
      <c r="K22" s="106">
        <f>161730.15/1000</f>
        <v>161.73014999999998</v>
      </c>
    </row>
    <row r="23" spans="2:11" ht="16.5" thickBot="1" x14ac:dyDescent="0.3">
      <c r="B23" s="202"/>
      <c r="C23" s="203"/>
      <c r="D23" s="203"/>
      <c r="E23" s="203"/>
      <c r="F23" s="203"/>
      <c r="G23" s="203"/>
      <c r="H23" s="203"/>
      <c r="I23" s="203"/>
      <c r="J23" s="203"/>
      <c r="K23" s="234"/>
    </row>
    <row r="24" spans="2:11" ht="78.75" customHeight="1" thickBot="1" x14ac:dyDescent="0.3">
      <c r="B24" s="75" t="s">
        <v>80</v>
      </c>
      <c r="C24" s="70" t="s">
        <v>81</v>
      </c>
      <c r="D24" s="107" t="s">
        <v>82</v>
      </c>
      <c r="E24" s="72">
        <f>143367.99/1000</f>
        <v>143.36798999999999</v>
      </c>
      <c r="F24" s="72">
        <f>H24</f>
        <v>143.36798999999999</v>
      </c>
      <c r="G24" s="70" t="s">
        <v>83</v>
      </c>
      <c r="H24" s="72">
        <f>143367.99/1000</f>
        <v>143.36798999999999</v>
      </c>
      <c r="I24" s="108" t="str">
        <f t="shared" ref="I24" si="5">K24</f>
        <v>__</v>
      </c>
      <c r="J24" s="72" t="s">
        <v>26</v>
      </c>
      <c r="K24" s="77" t="s">
        <v>26</v>
      </c>
    </row>
    <row r="25" spans="2:11" ht="45.75" customHeight="1" x14ac:dyDescent="0.25">
      <c r="B25" s="150" t="s">
        <v>96</v>
      </c>
      <c r="C25" s="160" t="s">
        <v>97</v>
      </c>
      <c r="D25" s="160" t="s">
        <v>98</v>
      </c>
      <c r="E25" s="155">
        <f>1200000/1000</f>
        <v>1200</v>
      </c>
      <c r="F25" s="155">
        <f>H25+H26</f>
        <v>1119.6182899999999</v>
      </c>
      <c r="G25" s="35" t="s">
        <v>99</v>
      </c>
      <c r="H25" s="48">
        <f>346445.97/1000</f>
        <v>346.44596999999999</v>
      </c>
      <c r="I25" s="232">
        <f>K25+K26</f>
        <v>1119.6182899999999</v>
      </c>
      <c r="J25" s="48" t="s">
        <v>100</v>
      </c>
      <c r="K25" s="44">
        <f>346445.97/1000</f>
        <v>346.44596999999999</v>
      </c>
    </row>
    <row r="26" spans="2:11" ht="45.75" customHeight="1" x14ac:dyDescent="0.25">
      <c r="B26" s="163"/>
      <c r="C26" s="165"/>
      <c r="D26" s="165"/>
      <c r="E26" s="156"/>
      <c r="F26" s="156"/>
      <c r="G26" s="12" t="s">
        <v>99</v>
      </c>
      <c r="H26" s="20">
        <f>773172.32/1000</f>
        <v>773.1723199999999</v>
      </c>
      <c r="I26" s="200"/>
      <c r="J26" s="20" t="s">
        <v>101</v>
      </c>
      <c r="K26" s="24">
        <f>773172.32/1000</f>
        <v>773.1723199999999</v>
      </c>
    </row>
    <row r="27" spans="2:11" ht="44.25" customHeight="1" x14ac:dyDescent="0.25">
      <c r="B27" s="163"/>
      <c r="C27" s="11" t="s">
        <v>43</v>
      </c>
      <c r="D27" s="11" t="s">
        <v>44</v>
      </c>
      <c r="E27" s="12" t="s">
        <v>26</v>
      </c>
      <c r="F27" s="49" t="str">
        <f t="shared" ref="F27:F33" si="6">H27</f>
        <v>__</v>
      </c>
      <c r="G27" s="12" t="s">
        <v>26</v>
      </c>
      <c r="H27" s="12" t="s">
        <v>26</v>
      </c>
      <c r="I27" s="20">
        <f t="shared" ref="I27:I33" si="7">K27</f>
        <v>-26.102803599999994</v>
      </c>
      <c r="J27" s="12" t="s">
        <v>104</v>
      </c>
      <c r="K27" s="24">
        <f>(16949.15*2-28009.66*2)*1.18/1000</f>
        <v>-26.102803599999994</v>
      </c>
    </row>
    <row r="28" spans="2:11" ht="44.25" customHeight="1" x14ac:dyDescent="0.25">
      <c r="B28" s="163"/>
      <c r="C28" s="11" t="s">
        <v>43</v>
      </c>
      <c r="D28" s="11" t="s">
        <v>44</v>
      </c>
      <c r="E28" s="12" t="s">
        <v>26</v>
      </c>
      <c r="F28" s="12">
        <f t="shared" si="6"/>
        <v>40</v>
      </c>
      <c r="G28" s="12" t="s">
        <v>45</v>
      </c>
      <c r="H28" s="20">
        <f>20000*2/1000</f>
        <v>40</v>
      </c>
      <c r="I28" s="49" t="str">
        <f t="shared" si="7"/>
        <v>__</v>
      </c>
      <c r="J28" s="12" t="s">
        <v>26</v>
      </c>
      <c r="K28" s="17" t="s">
        <v>26</v>
      </c>
    </row>
    <row r="29" spans="2:11" ht="44.25" customHeight="1" x14ac:dyDescent="0.25">
      <c r="B29" s="163"/>
      <c r="C29" s="50" t="s">
        <v>105</v>
      </c>
      <c r="D29" s="12" t="s">
        <v>26</v>
      </c>
      <c r="E29" s="12" t="s">
        <v>26</v>
      </c>
      <c r="F29" s="12">
        <f t="shared" si="6"/>
        <v>8.4</v>
      </c>
      <c r="G29" s="12" t="s">
        <v>106</v>
      </c>
      <c r="H29" s="12">
        <f>8400/1000</f>
        <v>8.4</v>
      </c>
      <c r="I29" s="49" t="str">
        <f t="shared" si="7"/>
        <v>__</v>
      </c>
      <c r="J29" s="12" t="s">
        <v>26</v>
      </c>
      <c r="K29" s="17" t="s">
        <v>26</v>
      </c>
    </row>
    <row r="30" spans="2:11" ht="44.25" customHeight="1" x14ac:dyDescent="0.25">
      <c r="B30" s="163"/>
      <c r="C30" s="183" t="s">
        <v>67</v>
      </c>
      <c r="D30" s="183"/>
      <c r="E30" s="11"/>
      <c r="F30" s="12">
        <f t="shared" si="6"/>
        <v>-2.3217600000000003</v>
      </c>
      <c r="G30" s="11" t="s">
        <v>26</v>
      </c>
      <c r="H30" s="12">
        <f>(-1160.88-1160.88)/1000</f>
        <v>-2.3217600000000003</v>
      </c>
      <c r="I30" s="20">
        <f t="shared" si="7"/>
        <v>-2.3217600000000003</v>
      </c>
      <c r="J30" s="11" t="s">
        <v>26</v>
      </c>
      <c r="K30" s="24">
        <f>(-1160.88-1160.88)/1000</f>
        <v>-2.3217600000000003</v>
      </c>
    </row>
    <row r="31" spans="2:11" ht="44.25" customHeight="1" x14ac:dyDescent="0.25">
      <c r="B31" s="237"/>
      <c r="C31" s="183" t="s">
        <v>107</v>
      </c>
      <c r="D31" s="183"/>
      <c r="E31" s="11"/>
      <c r="F31" s="12">
        <f t="shared" si="6"/>
        <v>98.37594</v>
      </c>
      <c r="G31" s="11" t="s">
        <v>26</v>
      </c>
      <c r="H31" s="12">
        <f>98375.94/1000</f>
        <v>98.37594</v>
      </c>
      <c r="I31" s="20">
        <f t="shared" si="7"/>
        <v>98.37594</v>
      </c>
      <c r="J31" s="11" t="s">
        <v>26</v>
      </c>
      <c r="K31" s="24">
        <f>H31</f>
        <v>98.37594</v>
      </c>
    </row>
    <row r="32" spans="2:11" ht="63" customHeight="1" x14ac:dyDescent="0.25">
      <c r="B32" s="233" t="s">
        <v>108</v>
      </c>
      <c r="C32" s="11" t="s">
        <v>109</v>
      </c>
      <c r="D32" s="11" t="s">
        <v>110</v>
      </c>
      <c r="E32" s="20">
        <f>70000/1000</f>
        <v>70</v>
      </c>
      <c r="F32" s="12">
        <f t="shared" si="6"/>
        <v>70</v>
      </c>
      <c r="G32" s="11" t="s">
        <v>111</v>
      </c>
      <c r="H32" s="12">
        <f>70000/1000</f>
        <v>70</v>
      </c>
      <c r="I32" s="20">
        <f t="shared" si="7"/>
        <v>70</v>
      </c>
      <c r="J32" s="11" t="s">
        <v>112</v>
      </c>
      <c r="K32" s="24">
        <f>70000/1000</f>
        <v>70</v>
      </c>
    </row>
    <row r="33" spans="2:11" ht="44.25" customHeight="1" thickBot="1" x14ac:dyDescent="0.3">
      <c r="B33" s="151"/>
      <c r="C33" s="162" t="s">
        <v>67</v>
      </c>
      <c r="D33" s="162"/>
      <c r="E33" s="38"/>
      <c r="F33" s="39">
        <f t="shared" si="6"/>
        <v>6.22628</v>
      </c>
      <c r="G33" s="38" t="s">
        <v>26</v>
      </c>
      <c r="H33" s="39">
        <f>6226.28/1000</f>
        <v>6.22628</v>
      </c>
      <c r="I33" s="40">
        <f t="shared" si="7"/>
        <v>6.22628</v>
      </c>
      <c r="J33" s="38" t="s">
        <v>26</v>
      </c>
      <c r="K33" s="41">
        <f>H33</f>
        <v>6.22628</v>
      </c>
    </row>
    <row r="34" spans="2:11" ht="16.5" thickBot="1" x14ac:dyDescent="0.3">
      <c r="B34" s="205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2:11" ht="140.25" customHeight="1" thickBot="1" x14ac:dyDescent="0.3">
      <c r="B35" s="75" t="s">
        <v>113</v>
      </c>
      <c r="C35" s="70" t="s">
        <v>114</v>
      </c>
      <c r="D35" s="70" t="s">
        <v>115</v>
      </c>
      <c r="E35" s="72">
        <f>43069797.89/1000</f>
        <v>43069.797890000002</v>
      </c>
      <c r="F35" s="72">
        <f>H35</f>
        <v>802.34842000000003</v>
      </c>
      <c r="G35" s="72" t="s">
        <v>125</v>
      </c>
      <c r="H35" s="72">
        <f>802348.42/1000</f>
        <v>802.34842000000003</v>
      </c>
      <c r="I35" s="72" t="s">
        <v>26</v>
      </c>
      <c r="J35" s="72" t="s">
        <v>26</v>
      </c>
      <c r="K35" s="77" t="s">
        <v>26</v>
      </c>
    </row>
    <row r="36" spans="2:11" ht="57" customHeight="1" x14ac:dyDescent="0.25">
      <c r="B36" s="150" t="s">
        <v>126</v>
      </c>
      <c r="C36" s="160" t="s">
        <v>114</v>
      </c>
      <c r="D36" s="160" t="s">
        <v>127</v>
      </c>
      <c r="E36" s="155">
        <f>57760510.17/1000</f>
        <v>57760.510170000001</v>
      </c>
      <c r="F36" s="155">
        <f>H36+H37</f>
        <v>3333.9848999999999</v>
      </c>
      <c r="G36" s="35" t="s">
        <v>137</v>
      </c>
      <c r="H36" s="35">
        <f>533984.9/1000</f>
        <v>533.98490000000004</v>
      </c>
      <c r="I36" s="35" t="s">
        <v>26</v>
      </c>
      <c r="J36" s="35" t="s">
        <v>26</v>
      </c>
      <c r="K36" s="36" t="s">
        <v>26</v>
      </c>
    </row>
    <row r="37" spans="2:11" ht="79.5" customHeight="1" thickBot="1" x14ac:dyDescent="0.3">
      <c r="B37" s="151"/>
      <c r="C37" s="162"/>
      <c r="D37" s="162"/>
      <c r="E37" s="231"/>
      <c r="F37" s="231"/>
      <c r="G37" s="30" t="s">
        <v>138</v>
      </c>
      <c r="H37" s="30">
        <f>2800000/1000</f>
        <v>2800</v>
      </c>
      <c r="I37" s="30" t="s">
        <v>26</v>
      </c>
      <c r="J37" s="30" t="s">
        <v>26</v>
      </c>
      <c r="K37" s="51" t="s">
        <v>26</v>
      </c>
    </row>
    <row r="38" spans="2:11" ht="138.75" customHeight="1" thickBot="1" x14ac:dyDescent="0.3">
      <c r="B38" s="75" t="s">
        <v>144</v>
      </c>
      <c r="C38" s="70" t="s">
        <v>114</v>
      </c>
      <c r="D38" s="70" t="s">
        <v>145</v>
      </c>
      <c r="E38" s="72">
        <f>61898866.22/1000</f>
        <v>61898.866219999996</v>
      </c>
      <c r="F38" s="72">
        <f>H38</f>
        <v>1424.1496599999998</v>
      </c>
      <c r="G38" s="72" t="s">
        <v>155</v>
      </c>
      <c r="H38" s="76">
        <f>1424149.66/1000</f>
        <v>1424.1496599999998</v>
      </c>
      <c r="I38" s="72" t="s">
        <v>26</v>
      </c>
      <c r="J38" s="72" t="s">
        <v>26</v>
      </c>
      <c r="K38" s="77" t="s">
        <v>26</v>
      </c>
    </row>
    <row r="39" spans="2:11" ht="46.5" customHeight="1" x14ac:dyDescent="0.25">
      <c r="B39" s="150" t="s">
        <v>166</v>
      </c>
      <c r="C39" s="34" t="s">
        <v>43</v>
      </c>
      <c r="D39" s="34" t="s">
        <v>44</v>
      </c>
      <c r="E39" s="56" t="s">
        <v>26</v>
      </c>
      <c r="F39" s="35">
        <f>H39</f>
        <v>5363.3184299999994</v>
      </c>
      <c r="G39" s="35" t="s">
        <v>167</v>
      </c>
      <c r="H39" s="35">
        <f>5363318.43/1000</f>
        <v>5363.3184299999994</v>
      </c>
      <c r="I39" s="43">
        <f>K39</f>
        <v>5363.3184299999994</v>
      </c>
      <c r="J39" s="35" t="s">
        <v>168</v>
      </c>
      <c r="K39" s="36">
        <f>5363318.43/1000</f>
        <v>5363.3184299999994</v>
      </c>
    </row>
    <row r="40" spans="2:11" ht="53.25" customHeight="1" x14ac:dyDescent="0.25">
      <c r="B40" s="163"/>
      <c r="C40" s="183" t="s">
        <v>59</v>
      </c>
      <c r="D40" s="183"/>
      <c r="E40" s="11" t="s">
        <v>26</v>
      </c>
      <c r="F40" s="12">
        <f t="shared" ref="F40:F56" si="8">H40</f>
        <v>72.944659999999999</v>
      </c>
      <c r="G40" s="11" t="s">
        <v>26</v>
      </c>
      <c r="H40" s="12">
        <f>72944.66/1000</f>
        <v>72.944659999999999</v>
      </c>
      <c r="I40" s="20">
        <f t="shared" ref="I40:I43" si="9">K40</f>
        <v>54.318300000000001</v>
      </c>
      <c r="J40" s="11" t="s">
        <v>26</v>
      </c>
      <c r="K40" s="24">
        <f>(50384.9+3933.4)/1000</f>
        <v>54.318300000000001</v>
      </c>
    </row>
    <row r="41" spans="2:11" ht="53.25" customHeight="1" x14ac:dyDescent="0.25">
      <c r="B41" s="163"/>
      <c r="C41" s="179" t="s">
        <v>60</v>
      </c>
      <c r="D41" s="180"/>
      <c r="E41" s="11" t="s">
        <v>26</v>
      </c>
      <c r="F41" s="12">
        <f t="shared" si="8"/>
        <v>48.484349999999999</v>
      </c>
      <c r="G41" s="11" t="s">
        <v>26</v>
      </c>
      <c r="H41" s="12">
        <f>48484.35/1000</f>
        <v>48.484349999999999</v>
      </c>
      <c r="I41" s="20">
        <f t="shared" si="9"/>
        <v>56.712850000000003</v>
      </c>
      <c r="J41" s="11" t="s">
        <v>26</v>
      </c>
      <c r="K41" s="24">
        <f>(52920.19+3792.66)/1000</f>
        <v>56.712850000000003</v>
      </c>
    </row>
    <row r="42" spans="2:11" ht="53.25" customHeight="1" x14ac:dyDescent="0.25">
      <c r="B42" s="163"/>
      <c r="C42" s="188" t="s">
        <v>61</v>
      </c>
      <c r="D42" s="167"/>
      <c r="E42" s="13" t="s">
        <v>26</v>
      </c>
      <c r="F42" s="14">
        <f t="shared" si="8"/>
        <v>54.038994578837894</v>
      </c>
      <c r="G42" s="13" t="s">
        <v>26</v>
      </c>
      <c r="H42" s="14">
        <f>54038.9945788379/1000</f>
        <v>54.038994578837894</v>
      </c>
      <c r="I42" s="62">
        <f t="shared" si="9"/>
        <v>54.742959999999997</v>
      </c>
      <c r="J42" s="13" t="s">
        <v>26</v>
      </c>
      <c r="K42" s="25">
        <f>54742.96/1000</f>
        <v>54.742959999999997</v>
      </c>
    </row>
    <row r="43" spans="2:11" ht="53.25" customHeight="1" x14ac:dyDescent="0.25">
      <c r="B43" s="163"/>
      <c r="C43" s="179" t="s">
        <v>62</v>
      </c>
      <c r="D43" s="180"/>
      <c r="E43" s="11" t="s">
        <v>26</v>
      </c>
      <c r="F43" s="12">
        <f t="shared" si="8"/>
        <v>0</v>
      </c>
      <c r="G43" s="11" t="s">
        <v>26</v>
      </c>
      <c r="H43" s="12">
        <v>0</v>
      </c>
      <c r="I43" s="20">
        <f t="shared" si="9"/>
        <v>-47.58126</v>
      </c>
      <c r="J43" s="11" t="s">
        <v>26</v>
      </c>
      <c r="K43" s="24">
        <f>-47581.26/1000</f>
        <v>-47.58126</v>
      </c>
    </row>
    <row r="44" spans="2:11" ht="42" customHeight="1" thickBot="1" x14ac:dyDescent="0.3">
      <c r="B44" s="151"/>
      <c r="C44" s="189" t="s">
        <v>68</v>
      </c>
      <c r="D44" s="190"/>
      <c r="E44" s="29" t="s">
        <v>26</v>
      </c>
      <c r="F44" s="39">
        <f>H44</f>
        <v>466.07671610017502</v>
      </c>
      <c r="G44" s="29" t="s">
        <v>26</v>
      </c>
      <c r="H44" s="54">
        <f>466076.716100175/1000</f>
        <v>466.07671610017502</v>
      </c>
      <c r="I44" s="40">
        <f>K44</f>
        <v>466.07671610017502</v>
      </c>
      <c r="J44" s="29" t="s">
        <v>26</v>
      </c>
      <c r="K44" s="41">
        <f>H44</f>
        <v>466.07671610017502</v>
      </c>
    </row>
    <row r="45" spans="2:11" ht="33.75" customHeight="1" x14ac:dyDescent="0.25">
      <c r="B45" s="163" t="s">
        <v>169</v>
      </c>
      <c r="C45" s="13" t="s">
        <v>43</v>
      </c>
      <c r="D45" s="13" t="s">
        <v>44</v>
      </c>
      <c r="E45" s="53" t="s">
        <v>26</v>
      </c>
      <c r="F45" s="14" t="s">
        <v>26</v>
      </c>
      <c r="G45" s="14" t="s">
        <v>26</v>
      </c>
      <c r="H45" s="14" t="s">
        <v>26</v>
      </c>
      <c r="I45" s="14">
        <f>K45</f>
        <v>3055.54439</v>
      </c>
      <c r="J45" s="14" t="s">
        <v>168</v>
      </c>
      <c r="K45" s="19">
        <f>3055544.39/1000</f>
        <v>3055.54439</v>
      </c>
    </row>
    <row r="46" spans="2:11" ht="46.5" customHeight="1" x14ac:dyDescent="0.25">
      <c r="B46" s="163"/>
      <c r="C46" s="11" t="s">
        <v>43</v>
      </c>
      <c r="D46" s="11" t="s">
        <v>44</v>
      </c>
      <c r="E46" s="57" t="s">
        <v>26</v>
      </c>
      <c r="F46" s="12">
        <f>H46</f>
        <v>940.21978999999999</v>
      </c>
      <c r="G46" s="12" t="s">
        <v>167</v>
      </c>
      <c r="H46" s="12">
        <f>940219.79/1000</f>
        <v>940.21978999999999</v>
      </c>
      <c r="I46" s="12" t="s">
        <v>26</v>
      </c>
      <c r="J46" s="12" t="s">
        <v>26</v>
      </c>
      <c r="K46" s="17" t="s">
        <v>26</v>
      </c>
    </row>
    <row r="47" spans="2:11" ht="53.25" customHeight="1" x14ac:dyDescent="0.25">
      <c r="B47" s="163"/>
      <c r="C47" s="183" t="s">
        <v>59</v>
      </c>
      <c r="D47" s="183"/>
      <c r="E47" s="11" t="s">
        <v>26</v>
      </c>
      <c r="F47" s="14">
        <f t="shared" si="8"/>
        <v>64.579790000000003</v>
      </c>
      <c r="G47" s="13" t="s">
        <v>26</v>
      </c>
      <c r="H47" s="14">
        <f>64579.79/1000</f>
        <v>64.579790000000003</v>
      </c>
      <c r="I47" s="62">
        <f t="shared" ref="I47:I50" si="10">K47</f>
        <v>47.007259999999995</v>
      </c>
      <c r="J47" s="13" t="s">
        <v>26</v>
      </c>
      <c r="K47" s="25">
        <f>(43551.45+3455.81)/1000</f>
        <v>47.007259999999995</v>
      </c>
    </row>
    <row r="48" spans="2:11" ht="53.25" customHeight="1" x14ac:dyDescent="0.25">
      <c r="B48" s="163"/>
      <c r="C48" s="179" t="s">
        <v>60</v>
      </c>
      <c r="D48" s="180"/>
      <c r="E48" s="11" t="s">
        <v>26</v>
      </c>
      <c r="F48" s="12">
        <f t="shared" si="8"/>
        <v>43.966449999999995</v>
      </c>
      <c r="G48" s="11" t="s">
        <v>26</v>
      </c>
      <c r="H48" s="12">
        <f>43966.45/1000</f>
        <v>43.966449999999995</v>
      </c>
      <c r="I48" s="20">
        <f t="shared" si="10"/>
        <v>57.888019999999997</v>
      </c>
      <c r="J48" s="11" t="s">
        <v>26</v>
      </c>
      <c r="K48" s="24">
        <f>(54031.5+3856.52)/1000</f>
        <v>57.888019999999997</v>
      </c>
    </row>
    <row r="49" spans="2:11" ht="53.25" customHeight="1" x14ac:dyDescent="0.25">
      <c r="B49" s="163"/>
      <c r="C49" s="188" t="s">
        <v>61</v>
      </c>
      <c r="D49" s="167"/>
      <c r="E49" s="13" t="s">
        <v>26</v>
      </c>
      <c r="F49" s="14">
        <f t="shared" si="8"/>
        <v>54.8303723582045</v>
      </c>
      <c r="G49" s="13" t="s">
        <v>26</v>
      </c>
      <c r="H49" s="14">
        <f>54830.3723582045/1000</f>
        <v>54.8303723582045</v>
      </c>
      <c r="I49" s="62">
        <f t="shared" si="10"/>
        <v>54.114199999999997</v>
      </c>
      <c r="J49" s="13" t="s">
        <v>26</v>
      </c>
      <c r="K49" s="25">
        <f>54114.2/1000</f>
        <v>54.114199999999997</v>
      </c>
    </row>
    <row r="50" spans="2:11" ht="53.25" customHeight="1" x14ac:dyDescent="0.25">
      <c r="B50" s="163"/>
      <c r="C50" s="179" t="s">
        <v>62</v>
      </c>
      <c r="D50" s="180"/>
      <c r="E50" s="11" t="s">
        <v>26</v>
      </c>
      <c r="F50" s="12">
        <f t="shared" si="8"/>
        <v>0</v>
      </c>
      <c r="G50" s="11" t="s">
        <v>26</v>
      </c>
      <c r="H50" s="12">
        <v>0</v>
      </c>
      <c r="I50" s="20">
        <f t="shared" si="10"/>
        <v>-41.01314</v>
      </c>
      <c r="J50" s="11" t="s">
        <v>26</v>
      </c>
      <c r="K50" s="24">
        <f>-41013.14/1000</f>
        <v>-41.01314</v>
      </c>
    </row>
    <row r="51" spans="2:11" ht="42" customHeight="1" thickBot="1" x14ac:dyDescent="0.3">
      <c r="B51" s="151"/>
      <c r="C51" s="189" t="s">
        <v>68</v>
      </c>
      <c r="D51" s="190"/>
      <c r="E51" s="29" t="s">
        <v>26</v>
      </c>
      <c r="F51" s="39">
        <f>H51</f>
        <v>265.52928280537901</v>
      </c>
      <c r="G51" s="29" t="s">
        <v>26</v>
      </c>
      <c r="H51" s="54">
        <f>265529.282805379/1000</f>
        <v>265.52928280537901</v>
      </c>
      <c r="I51" s="40">
        <f>K51</f>
        <v>265.52928280537901</v>
      </c>
      <c r="J51" s="29" t="s">
        <v>26</v>
      </c>
      <c r="K51" s="41">
        <f>H51</f>
        <v>265.52928280537901</v>
      </c>
    </row>
    <row r="52" spans="2:11" ht="33.75" customHeight="1" x14ac:dyDescent="0.25">
      <c r="B52" s="150" t="s">
        <v>170</v>
      </c>
      <c r="C52" s="34" t="s">
        <v>43</v>
      </c>
      <c r="D52" s="34" t="s">
        <v>44</v>
      </c>
      <c r="E52" s="11" t="s">
        <v>26</v>
      </c>
      <c r="F52" s="12" t="s">
        <v>26</v>
      </c>
      <c r="G52" s="12" t="s">
        <v>26</v>
      </c>
      <c r="H52" s="35" t="s">
        <v>26</v>
      </c>
      <c r="I52" s="43">
        <f>K52</f>
        <v>4473.72955</v>
      </c>
      <c r="J52" s="35" t="s">
        <v>168</v>
      </c>
      <c r="K52" s="36">
        <f>4473729.55/1000</f>
        <v>4473.72955</v>
      </c>
    </row>
    <row r="53" spans="2:11" ht="57" customHeight="1" x14ac:dyDescent="0.25">
      <c r="B53" s="163"/>
      <c r="C53" s="183" t="s">
        <v>59</v>
      </c>
      <c r="D53" s="183"/>
      <c r="E53" s="11" t="s">
        <v>26</v>
      </c>
      <c r="F53" s="12">
        <f t="shared" si="8"/>
        <v>69.888159999999999</v>
      </c>
      <c r="G53" s="11" t="s">
        <v>26</v>
      </c>
      <c r="H53" s="12">
        <f>69888.16/1000</f>
        <v>69.888159999999999</v>
      </c>
      <c r="I53" s="20">
        <f t="shared" ref="I53:I56" si="11">K53</f>
        <v>44.759080000000004</v>
      </c>
      <c r="J53" s="11" t="s">
        <v>26</v>
      </c>
      <c r="K53" s="24">
        <f>(41451.3+3307.78)/1000</f>
        <v>44.759080000000004</v>
      </c>
    </row>
    <row r="54" spans="2:11" ht="62.25" customHeight="1" x14ac:dyDescent="0.25">
      <c r="B54" s="163"/>
      <c r="C54" s="179" t="s">
        <v>60</v>
      </c>
      <c r="D54" s="180"/>
      <c r="E54" s="11" t="s">
        <v>26</v>
      </c>
      <c r="F54" s="12">
        <f t="shared" si="8"/>
        <v>42.986750000000001</v>
      </c>
      <c r="G54" s="11" t="s">
        <v>26</v>
      </c>
      <c r="H54" s="12">
        <f>42986.75/1000</f>
        <v>42.986750000000001</v>
      </c>
      <c r="I54" s="20">
        <f t="shared" si="11"/>
        <v>60.892400000000002</v>
      </c>
      <c r="J54" s="11" t="s">
        <v>26</v>
      </c>
      <c r="K54" s="24">
        <f>(56782.05+4110.35)/1000</f>
        <v>60.892400000000002</v>
      </c>
    </row>
    <row r="55" spans="2:11" ht="53.25" customHeight="1" x14ac:dyDescent="0.25">
      <c r="B55" s="163"/>
      <c r="C55" s="188" t="s">
        <v>61</v>
      </c>
      <c r="D55" s="167"/>
      <c r="E55" s="13" t="s">
        <v>26</v>
      </c>
      <c r="F55" s="14">
        <f t="shared" si="8"/>
        <v>56.425781594767003</v>
      </c>
      <c r="G55" s="13" t="s">
        <v>26</v>
      </c>
      <c r="H55" s="14">
        <f>56425.781594767/1000</f>
        <v>56.425781594767003</v>
      </c>
      <c r="I55" s="62">
        <f t="shared" si="11"/>
        <v>52.274650000000001</v>
      </c>
      <c r="J55" s="13" t="s">
        <v>26</v>
      </c>
      <c r="K55" s="25">
        <f>52274.65/1000</f>
        <v>52.274650000000001</v>
      </c>
    </row>
    <row r="56" spans="2:11" ht="53.25" customHeight="1" x14ac:dyDescent="0.25">
      <c r="B56" s="163"/>
      <c r="C56" s="179" t="s">
        <v>62</v>
      </c>
      <c r="D56" s="180"/>
      <c r="E56" s="11" t="s">
        <v>26</v>
      </c>
      <c r="F56" s="12">
        <f t="shared" si="8"/>
        <v>0</v>
      </c>
      <c r="G56" s="11" t="s">
        <v>26</v>
      </c>
      <c r="H56" s="12">
        <v>0</v>
      </c>
      <c r="I56" s="20">
        <f t="shared" si="11"/>
        <v>-40.452980000000004</v>
      </c>
      <c r="J56" s="11" t="s">
        <v>26</v>
      </c>
      <c r="K56" s="24">
        <f>-40452.98/1000</f>
        <v>-40.452980000000004</v>
      </c>
    </row>
    <row r="57" spans="2:11" ht="42" customHeight="1" thickBot="1" x14ac:dyDescent="0.3">
      <c r="B57" s="151"/>
      <c r="C57" s="181" t="s">
        <v>68</v>
      </c>
      <c r="D57" s="182"/>
      <c r="E57" s="38" t="s">
        <v>26</v>
      </c>
      <c r="F57" s="39">
        <f>H57</f>
        <v>388.77072195666301</v>
      </c>
      <c r="G57" s="38" t="s">
        <v>26</v>
      </c>
      <c r="H57" s="54">
        <f>388770.721956663/1000</f>
        <v>388.77072195666301</v>
      </c>
      <c r="I57" s="40">
        <f>K57</f>
        <v>388.77072195666301</v>
      </c>
      <c r="J57" s="38" t="s">
        <v>26</v>
      </c>
      <c r="K57" s="41">
        <f>H57</f>
        <v>388.77072195666301</v>
      </c>
    </row>
    <row r="58" spans="2:11" ht="15" customHeight="1" thickBot="1" x14ac:dyDescent="0.3">
      <c r="B58" s="66"/>
      <c r="C58" s="67"/>
      <c r="D58" s="68"/>
      <c r="E58" s="63"/>
      <c r="F58" s="37"/>
      <c r="G58" s="63"/>
      <c r="H58" s="37"/>
      <c r="I58" s="64"/>
      <c r="J58" s="63"/>
      <c r="K58" s="65"/>
    </row>
    <row r="59" spans="2:11" ht="58.5" customHeight="1" thickBot="1" x14ac:dyDescent="0.3">
      <c r="B59" s="69" t="s">
        <v>171</v>
      </c>
      <c r="C59" s="70" t="s">
        <v>172</v>
      </c>
      <c r="D59" s="70" t="s">
        <v>173</v>
      </c>
      <c r="E59" s="71">
        <f>807014.98/1000</f>
        <v>807.01498000000004</v>
      </c>
      <c r="F59" s="72">
        <f>H59</f>
        <v>807.01498000000004</v>
      </c>
      <c r="G59" s="70" t="s">
        <v>174</v>
      </c>
      <c r="H59" s="72">
        <f>807014.98/1000</f>
        <v>807.01498000000004</v>
      </c>
      <c r="I59" s="72" t="s">
        <v>26</v>
      </c>
      <c r="J59" s="72" t="s">
        <v>26</v>
      </c>
      <c r="K59" s="77" t="s">
        <v>26</v>
      </c>
    </row>
    <row r="60" spans="2:11" s="74" customFormat="1" ht="15" customHeight="1" thickBot="1" x14ac:dyDescent="0.3">
      <c r="B60" s="228"/>
      <c r="C60" s="184"/>
      <c r="D60" s="184"/>
      <c r="E60" s="184"/>
      <c r="F60" s="184"/>
      <c r="G60" s="184"/>
      <c r="H60" s="184"/>
      <c r="I60" s="184"/>
      <c r="J60" s="184"/>
      <c r="K60" s="229"/>
    </row>
    <row r="61" spans="2:11" ht="42.75" customHeight="1" x14ac:dyDescent="0.25">
      <c r="B61" s="150" t="s">
        <v>179</v>
      </c>
      <c r="C61" s="34" t="s">
        <v>255</v>
      </c>
      <c r="D61" s="34" t="s">
        <v>256</v>
      </c>
      <c r="E61" s="35">
        <f>10340000/1000</f>
        <v>10340</v>
      </c>
      <c r="F61" s="35">
        <f t="shared" ref="F61:F65" si="12">H61</f>
        <v>10340</v>
      </c>
      <c r="G61" s="35" t="s">
        <v>257</v>
      </c>
      <c r="H61" s="35">
        <f>10340000/1000</f>
        <v>10340</v>
      </c>
      <c r="I61" s="35">
        <f t="shared" ref="I61:I65" si="13">K61</f>
        <v>10340</v>
      </c>
      <c r="J61" s="35" t="s">
        <v>258</v>
      </c>
      <c r="K61" s="36">
        <f>10340000/1000</f>
        <v>10340</v>
      </c>
    </row>
    <row r="62" spans="2:11" ht="36" customHeight="1" x14ac:dyDescent="0.25">
      <c r="B62" s="163"/>
      <c r="C62" s="188" t="s">
        <v>199</v>
      </c>
      <c r="D62" s="167"/>
      <c r="E62" s="12" t="s">
        <v>26</v>
      </c>
      <c r="F62" s="12">
        <f t="shared" si="12"/>
        <v>2.75</v>
      </c>
      <c r="G62" s="12" t="s">
        <v>259</v>
      </c>
      <c r="H62" s="12">
        <f>2750/1000</f>
        <v>2.75</v>
      </c>
      <c r="I62" s="12">
        <f t="shared" si="13"/>
        <v>2.75</v>
      </c>
      <c r="J62" s="12" t="s">
        <v>26</v>
      </c>
      <c r="K62" s="17">
        <f>2750/1000</f>
        <v>2.75</v>
      </c>
    </row>
    <row r="63" spans="2:11" ht="42.75" customHeight="1" x14ac:dyDescent="0.25">
      <c r="B63" s="163"/>
      <c r="C63" s="11" t="s">
        <v>43</v>
      </c>
      <c r="D63" s="22" t="s">
        <v>44</v>
      </c>
      <c r="E63" s="12" t="s">
        <v>26</v>
      </c>
      <c r="F63" s="14">
        <f>H63</f>
        <v>3829.9360000000001</v>
      </c>
      <c r="G63" s="12" t="s">
        <v>45</v>
      </c>
      <c r="H63" s="12">
        <f>3829936/1000</f>
        <v>3829.9360000000001</v>
      </c>
      <c r="I63" s="21">
        <f t="shared" si="13"/>
        <v>3829.9360000000001</v>
      </c>
      <c r="J63" s="12" t="s">
        <v>46</v>
      </c>
      <c r="K63" s="17">
        <f>3829936/1000</f>
        <v>3829.9360000000001</v>
      </c>
    </row>
    <row r="64" spans="2:11" ht="44.25" customHeight="1" x14ac:dyDescent="0.25">
      <c r="B64" s="163"/>
      <c r="C64" s="11" t="s">
        <v>255</v>
      </c>
      <c r="D64" s="11" t="s">
        <v>260</v>
      </c>
      <c r="E64" s="12">
        <f>990000/1000</f>
        <v>990</v>
      </c>
      <c r="F64" s="12">
        <f t="shared" si="12"/>
        <v>990</v>
      </c>
      <c r="G64" s="12" t="s">
        <v>261</v>
      </c>
      <c r="H64" s="12">
        <f>990000/1000</f>
        <v>990</v>
      </c>
      <c r="I64" s="12">
        <f t="shared" si="13"/>
        <v>990</v>
      </c>
      <c r="J64" s="12" t="s">
        <v>262</v>
      </c>
      <c r="K64" s="17">
        <f>990000/1000</f>
        <v>990</v>
      </c>
    </row>
    <row r="65" spans="2:11" ht="36" customHeight="1" thickBot="1" x14ac:dyDescent="0.3">
      <c r="B65" s="151"/>
      <c r="C65" s="189" t="s">
        <v>199</v>
      </c>
      <c r="D65" s="190"/>
      <c r="E65" s="30" t="s">
        <v>26</v>
      </c>
      <c r="F65" s="30">
        <f t="shared" si="12"/>
        <v>2.35</v>
      </c>
      <c r="G65" s="30" t="s">
        <v>263</v>
      </c>
      <c r="H65" s="30">
        <f>2350/1000</f>
        <v>2.35</v>
      </c>
      <c r="I65" s="30">
        <f t="shared" si="13"/>
        <v>2.35</v>
      </c>
      <c r="J65" s="30" t="s">
        <v>26</v>
      </c>
      <c r="K65" s="51">
        <f>2350/1000</f>
        <v>2.35</v>
      </c>
    </row>
    <row r="66" spans="2:11" ht="16.5" thickBot="1" x14ac:dyDescent="0.3">
      <c r="B66" s="216"/>
      <c r="C66" s="217"/>
      <c r="D66" s="217"/>
      <c r="E66" s="217"/>
      <c r="F66" s="217"/>
      <c r="G66" s="217"/>
      <c r="H66" s="217"/>
      <c r="I66" s="217"/>
      <c r="J66" s="217"/>
      <c r="K66" s="218"/>
    </row>
    <row r="67" spans="2:11" ht="50.25" customHeight="1" x14ac:dyDescent="0.25">
      <c r="B67" s="212" t="s">
        <v>268</v>
      </c>
      <c r="C67" s="34" t="s">
        <v>27</v>
      </c>
      <c r="D67" s="34" t="s">
        <v>28</v>
      </c>
      <c r="E67" s="35" t="s">
        <v>29</v>
      </c>
      <c r="F67" s="35" t="s">
        <v>26</v>
      </c>
      <c r="G67" s="35" t="s">
        <v>26</v>
      </c>
      <c r="H67" s="35" t="s">
        <v>26</v>
      </c>
      <c r="I67" s="48">
        <f t="shared" ref="I67:I71" si="14">K67</f>
        <v>150</v>
      </c>
      <c r="J67" s="35" t="s">
        <v>42</v>
      </c>
      <c r="K67" s="36">
        <f>150000/1000</f>
        <v>150</v>
      </c>
    </row>
    <row r="68" spans="2:11" ht="43.5" customHeight="1" thickBot="1" x14ac:dyDescent="0.3">
      <c r="B68" s="214"/>
      <c r="C68" s="215" t="s">
        <v>67</v>
      </c>
      <c r="D68" s="215"/>
      <c r="E68" s="30" t="s">
        <v>26</v>
      </c>
      <c r="F68" s="30">
        <f t="shared" ref="F68:F71" si="15">H68</f>
        <v>13.34202</v>
      </c>
      <c r="G68" s="29" t="s">
        <v>26</v>
      </c>
      <c r="H68" s="30">
        <f>13342.02/1000</f>
        <v>13.34202</v>
      </c>
      <c r="I68" s="31">
        <f t="shared" si="14"/>
        <v>13.34202</v>
      </c>
      <c r="J68" s="29" t="s">
        <v>26</v>
      </c>
      <c r="K68" s="32">
        <f>H68</f>
        <v>13.34202</v>
      </c>
    </row>
    <row r="69" spans="2:11" ht="50.25" customHeight="1" x14ac:dyDescent="0.25">
      <c r="B69" s="267" t="s">
        <v>269</v>
      </c>
      <c r="C69" s="13" t="s">
        <v>27</v>
      </c>
      <c r="D69" s="13" t="s">
        <v>28</v>
      </c>
      <c r="E69" s="35" t="s">
        <v>29</v>
      </c>
      <c r="F69" s="14" t="s">
        <v>26</v>
      </c>
      <c r="G69" s="14" t="s">
        <v>26</v>
      </c>
      <c r="H69" s="14" t="s">
        <v>26</v>
      </c>
      <c r="I69" s="62">
        <f t="shared" si="14"/>
        <v>300</v>
      </c>
      <c r="J69" s="14" t="s">
        <v>42</v>
      </c>
      <c r="K69" s="19">
        <f>300000/1000</f>
        <v>300</v>
      </c>
    </row>
    <row r="70" spans="2:11" ht="63" customHeight="1" x14ac:dyDescent="0.25">
      <c r="B70" s="267"/>
      <c r="C70" s="11" t="s">
        <v>270</v>
      </c>
      <c r="D70" s="11" t="s">
        <v>271</v>
      </c>
      <c r="E70" s="20">
        <f>1221300/1000</f>
        <v>1221.3</v>
      </c>
      <c r="F70" s="12" t="s">
        <v>26</v>
      </c>
      <c r="G70" s="12" t="s">
        <v>26</v>
      </c>
      <c r="H70" s="12" t="s">
        <v>26</v>
      </c>
      <c r="I70" s="20">
        <f>K70</f>
        <v>246.73994699999997</v>
      </c>
      <c r="J70" s="12" t="s">
        <v>272</v>
      </c>
      <c r="K70" s="17">
        <f>246739.947/1000</f>
        <v>246.73994699999997</v>
      </c>
    </row>
    <row r="71" spans="2:11" ht="42" customHeight="1" x14ac:dyDescent="0.25">
      <c r="B71" s="267"/>
      <c r="C71" s="183" t="s">
        <v>67</v>
      </c>
      <c r="D71" s="183"/>
      <c r="E71" s="11" t="s">
        <v>26</v>
      </c>
      <c r="F71" s="12">
        <f t="shared" si="15"/>
        <v>26.68404</v>
      </c>
      <c r="G71" s="11" t="s">
        <v>26</v>
      </c>
      <c r="H71" s="12">
        <f>26684.04/1000</f>
        <v>26.68404</v>
      </c>
      <c r="I71" s="20">
        <f t="shared" si="14"/>
        <v>26.68404</v>
      </c>
      <c r="J71" s="11" t="s">
        <v>26</v>
      </c>
      <c r="K71" s="24">
        <f>H71</f>
        <v>26.68404</v>
      </c>
    </row>
    <row r="72" spans="2:11" ht="42" customHeight="1" thickBot="1" x14ac:dyDescent="0.3">
      <c r="B72" s="193"/>
      <c r="C72" s="215" t="s">
        <v>68</v>
      </c>
      <c r="D72" s="215"/>
      <c r="E72" s="29" t="s">
        <v>26</v>
      </c>
      <c r="F72" s="30">
        <f>H72</f>
        <v>21.4419012657393</v>
      </c>
      <c r="G72" s="29" t="s">
        <v>26</v>
      </c>
      <c r="H72" s="30">
        <f>(21441.9012657393)/1000</f>
        <v>21.4419012657393</v>
      </c>
      <c r="I72" s="31">
        <f>K72</f>
        <v>21.4419012657393</v>
      </c>
      <c r="J72" s="29" t="s">
        <v>26</v>
      </c>
      <c r="K72" s="32">
        <f>H72</f>
        <v>21.4419012657393</v>
      </c>
    </row>
    <row r="73" spans="2:11" ht="16.5" thickBot="1" x14ac:dyDescent="0.3">
      <c r="B73" s="202" t="s">
        <v>273</v>
      </c>
      <c r="C73" s="203"/>
      <c r="D73" s="203"/>
      <c r="E73" s="204"/>
      <c r="F73" s="83">
        <f>SUM(F9:F72)</f>
        <v>40152.967821264254</v>
      </c>
      <c r="G73" s="52"/>
      <c r="H73" s="85">
        <f>SUM(H9:H72)</f>
        <v>40152.967821264254</v>
      </c>
      <c r="I73" s="83">
        <f>SUM(I9:I72)</f>
        <v>59315.070968303487</v>
      </c>
      <c r="J73" s="52"/>
      <c r="K73" s="86">
        <f>SUM(K9:K72)</f>
        <v>59315.070968303487</v>
      </c>
    </row>
    <row r="74" spans="2:11" ht="16.5" thickBot="1" x14ac:dyDescent="0.3">
      <c r="B74" s="205" t="s">
        <v>274</v>
      </c>
      <c r="C74" s="206"/>
      <c r="D74" s="206"/>
      <c r="E74" s="206"/>
      <c r="F74" s="206"/>
      <c r="G74" s="206"/>
      <c r="H74" s="206"/>
      <c r="I74" s="206"/>
      <c r="J74" s="206"/>
      <c r="K74" s="207"/>
    </row>
    <row r="75" spans="2:11" ht="43.5" customHeight="1" x14ac:dyDescent="0.25">
      <c r="B75" s="150" t="s">
        <v>275</v>
      </c>
      <c r="C75" s="160" t="s">
        <v>278</v>
      </c>
      <c r="D75" s="160" t="s">
        <v>279</v>
      </c>
      <c r="E75" s="160">
        <v>82000</v>
      </c>
      <c r="F75" s="155">
        <f>H75+H76+H77</f>
        <v>8873.8473699999995</v>
      </c>
      <c r="G75" s="35" t="s">
        <v>312</v>
      </c>
      <c r="H75" s="35">
        <f>7304117.91/1000</f>
        <v>7304.1179099999999</v>
      </c>
      <c r="I75" s="155">
        <f>K75+K76+K77</f>
        <v>2991.1117586</v>
      </c>
      <c r="J75" s="35" t="s">
        <v>313</v>
      </c>
      <c r="K75" s="109">
        <f>1007308.95/1000</f>
        <v>1007.30895</v>
      </c>
    </row>
    <row r="76" spans="2:11" ht="45.75" customHeight="1" x14ac:dyDescent="0.25">
      <c r="B76" s="163"/>
      <c r="C76" s="161"/>
      <c r="D76" s="161"/>
      <c r="E76" s="161"/>
      <c r="F76" s="169"/>
      <c r="G76" s="14" t="s">
        <v>314</v>
      </c>
      <c r="H76" s="14">
        <f>1007308.95/1000</f>
        <v>1007.30895</v>
      </c>
      <c r="I76" s="169"/>
      <c r="J76" s="14" t="s">
        <v>315</v>
      </c>
      <c r="K76" s="17">
        <f>562420.51/1000</f>
        <v>562.42051000000004</v>
      </c>
    </row>
    <row r="77" spans="2:11" ht="45.75" customHeight="1" x14ac:dyDescent="0.25">
      <c r="B77" s="163"/>
      <c r="C77" s="165"/>
      <c r="D77" s="165"/>
      <c r="E77" s="165"/>
      <c r="F77" s="169"/>
      <c r="G77" s="14" t="s">
        <v>316</v>
      </c>
      <c r="H77" s="14">
        <f>562420.51/1000</f>
        <v>562.42051000000004</v>
      </c>
      <c r="I77" s="169"/>
      <c r="J77" s="14" t="s">
        <v>317</v>
      </c>
      <c r="K77" s="17">
        <f>1421382.2986/1000</f>
        <v>1421.3822986</v>
      </c>
    </row>
    <row r="78" spans="2:11" ht="44.25" customHeight="1" x14ac:dyDescent="0.25">
      <c r="B78" s="163"/>
      <c r="C78" s="164" t="s">
        <v>278</v>
      </c>
      <c r="D78" s="164" t="s">
        <v>318</v>
      </c>
      <c r="E78" s="168">
        <f>7700000/1000</f>
        <v>7700</v>
      </c>
      <c r="F78" s="168">
        <f>H78+H79</f>
        <v>254.67948000000001</v>
      </c>
      <c r="G78" s="14" t="s">
        <v>319</v>
      </c>
      <c r="H78" s="14">
        <f>109562.95/1000</f>
        <v>109.56295</v>
      </c>
      <c r="I78" s="168">
        <f>K78+K79</f>
        <v>227.99298999999999</v>
      </c>
      <c r="J78" s="12" t="s">
        <v>322</v>
      </c>
      <c r="K78" s="17">
        <f>109562.95/1000</f>
        <v>109.56295</v>
      </c>
    </row>
    <row r="79" spans="2:11" ht="44.25" customHeight="1" x14ac:dyDescent="0.25">
      <c r="B79" s="163"/>
      <c r="C79" s="161"/>
      <c r="D79" s="161"/>
      <c r="E79" s="169"/>
      <c r="F79" s="169"/>
      <c r="G79" s="14" t="s">
        <v>321</v>
      </c>
      <c r="H79" s="14">
        <f>145116.53/1000</f>
        <v>145.11653000000001</v>
      </c>
      <c r="I79" s="169"/>
      <c r="J79" s="14" t="s">
        <v>323</v>
      </c>
      <c r="K79" s="17">
        <f>118430.04/1000</f>
        <v>118.43003999999999</v>
      </c>
    </row>
    <row r="80" spans="2:11" ht="50.25" customHeight="1" x14ac:dyDescent="0.25">
      <c r="B80" s="163"/>
      <c r="C80" s="11" t="s">
        <v>43</v>
      </c>
      <c r="D80" s="11" t="s">
        <v>44</v>
      </c>
      <c r="E80" s="11" t="s">
        <v>26</v>
      </c>
      <c r="F80" s="12">
        <f>H80</f>
        <v>91.702250000000006</v>
      </c>
      <c r="G80" s="12" t="s">
        <v>45</v>
      </c>
      <c r="H80" s="20">
        <v>91.702250000000006</v>
      </c>
      <c r="I80" s="12">
        <f t="shared" ref="I80" si="16">K80</f>
        <v>91.702250000000006</v>
      </c>
      <c r="J80" s="21" t="s">
        <v>46</v>
      </c>
      <c r="K80" s="19">
        <f>91702.25/1000</f>
        <v>91.702250000000006</v>
      </c>
    </row>
    <row r="81" spans="2:11" ht="46.5" customHeight="1" x14ac:dyDescent="0.25">
      <c r="B81" s="163"/>
      <c r="C81" s="164" t="s">
        <v>324</v>
      </c>
      <c r="D81" s="164" t="s">
        <v>325</v>
      </c>
      <c r="E81" s="168">
        <f>30668.87*16/1000</f>
        <v>490.70191999999997</v>
      </c>
      <c r="F81" s="168">
        <f>H81</f>
        <v>30.668869999999998</v>
      </c>
      <c r="G81" s="12" t="s">
        <v>326</v>
      </c>
      <c r="H81" s="12">
        <f>30668.87/1000</f>
        <v>30.668869999999998</v>
      </c>
      <c r="I81" s="168">
        <f>K81+K82</f>
        <v>92.006609999999995</v>
      </c>
      <c r="J81" s="21" t="s">
        <v>327</v>
      </c>
      <c r="K81" s="19">
        <f>30668.87/1000</f>
        <v>30.668869999999998</v>
      </c>
    </row>
    <row r="82" spans="2:11" ht="46.5" customHeight="1" x14ac:dyDescent="0.25">
      <c r="B82" s="163"/>
      <c r="C82" s="165"/>
      <c r="D82" s="165"/>
      <c r="E82" s="156"/>
      <c r="F82" s="156"/>
      <c r="G82" s="12" t="s">
        <v>26</v>
      </c>
      <c r="H82" s="12" t="s">
        <v>26</v>
      </c>
      <c r="I82" s="156"/>
      <c r="J82" s="14" t="s">
        <v>328</v>
      </c>
      <c r="K82" s="19">
        <f>61337.74/1000</f>
        <v>61.337739999999997</v>
      </c>
    </row>
    <row r="83" spans="2:11" ht="46.5" customHeight="1" x14ac:dyDescent="0.25">
      <c r="B83" s="163"/>
      <c r="C83" s="11" t="s">
        <v>324</v>
      </c>
      <c r="D83" s="88" t="s">
        <v>329</v>
      </c>
      <c r="E83" s="53">
        <f>3303227.63/1000</f>
        <v>3303.2276299999999</v>
      </c>
      <c r="F83" s="12" t="str">
        <f>H83</f>
        <v>__</v>
      </c>
      <c r="G83" s="12" t="s">
        <v>26</v>
      </c>
      <c r="H83" s="12" t="s">
        <v>26</v>
      </c>
      <c r="I83" s="89">
        <f>K83</f>
        <v>3303.2276299999999</v>
      </c>
      <c r="J83" s="14" t="s">
        <v>330</v>
      </c>
      <c r="K83" s="19">
        <f>3303227.63/1000</f>
        <v>3303.2276299999999</v>
      </c>
    </row>
    <row r="84" spans="2:11" ht="50.25" customHeight="1" x14ac:dyDescent="0.25">
      <c r="B84" s="163"/>
      <c r="C84" s="11" t="s">
        <v>43</v>
      </c>
      <c r="D84" s="11" t="s">
        <v>44</v>
      </c>
      <c r="E84" s="11" t="s">
        <v>26</v>
      </c>
      <c r="F84" s="12">
        <f>H84</f>
        <v>285.39886000000001</v>
      </c>
      <c r="G84" s="12" t="s">
        <v>45</v>
      </c>
      <c r="H84" s="12">
        <f>285398.86/1000</f>
        <v>285.39886000000001</v>
      </c>
      <c r="I84" s="21">
        <f t="shared" ref="I84" si="17">K84</f>
        <v>285.39886000000001</v>
      </c>
      <c r="J84" s="21" t="s">
        <v>46</v>
      </c>
      <c r="K84" s="19">
        <f>285398.86/1000</f>
        <v>285.39886000000001</v>
      </c>
    </row>
    <row r="85" spans="2:11" ht="48" customHeight="1" x14ac:dyDescent="0.25">
      <c r="B85" s="163"/>
      <c r="C85" s="23" t="s">
        <v>27</v>
      </c>
      <c r="D85" s="23" t="s">
        <v>28</v>
      </c>
      <c r="E85" s="14" t="s">
        <v>29</v>
      </c>
      <c r="F85" s="12">
        <f>H85</f>
        <v>911.58043000000009</v>
      </c>
      <c r="G85" s="11" t="s">
        <v>338</v>
      </c>
      <c r="H85" s="12">
        <f>911580.43/1000</f>
        <v>911.58043000000009</v>
      </c>
      <c r="I85" s="12">
        <f>K85</f>
        <v>400</v>
      </c>
      <c r="J85" s="14" t="s">
        <v>42</v>
      </c>
      <c r="K85" s="19">
        <f>400000/1000</f>
        <v>400</v>
      </c>
    </row>
    <row r="86" spans="2:11" ht="27" customHeight="1" x14ac:dyDescent="0.25">
      <c r="B86" s="163"/>
      <c r="C86" s="179" t="s">
        <v>346</v>
      </c>
      <c r="D86" s="180"/>
      <c r="E86" s="12" t="s">
        <v>26</v>
      </c>
      <c r="F86" s="12">
        <f t="shared" ref="F86:F101" si="18">H86</f>
        <v>231.15860999999998</v>
      </c>
      <c r="G86" s="12" t="s">
        <v>26</v>
      </c>
      <c r="H86" s="12">
        <f>231158.61/1000</f>
        <v>231.15860999999998</v>
      </c>
      <c r="I86" s="21">
        <f t="shared" ref="I86:I87" si="19">K86</f>
        <v>231.15860999999998</v>
      </c>
      <c r="J86" s="12" t="s">
        <v>26</v>
      </c>
      <c r="K86" s="19">
        <f>H86</f>
        <v>231.15860999999998</v>
      </c>
    </row>
    <row r="87" spans="2:11" ht="29.25" customHeight="1" x14ac:dyDescent="0.25">
      <c r="B87" s="163"/>
      <c r="C87" s="183" t="s">
        <v>347</v>
      </c>
      <c r="D87" s="183"/>
      <c r="E87" s="11" t="s">
        <v>26</v>
      </c>
      <c r="F87" s="12">
        <f t="shared" si="18"/>
        <v>228.81892999999999</v>
      </c>
      <c r="G87" s="11" t="s">
        <v>26</v>
      </c>
      <c r="H87" s="12">
        <f>228818.93/1000</f>
        <v>228.81892999999999</v>
      </c>
      <c r="I87" s="20">
        <f t="shared" si="19"/>
        <v>228.81892999999999</v>
      </c>
      <c r="J87" s="11" t="s">
        <v>26</v>
      </c>
      <c r="K87" s="24">
        <f>H87</f>
        <v>228.81892999999999</v>
      </c>
    </row>
    <row r="88" spans="2:11" ht="29.25" customHeight="1" x14ac:dyDescent="0.25">
      <c r="B88" s="163"/>
      <c r="C88" s="183" t="s">
        <v>348</v>
      </c>
      <c r="D88" s="183"/>
      <c r="E88" s="11" t="s">
        <v>26</v>
      </c>
      <c r="F88" s="12">
        <f>H88</f>
        <v>169.07948000000002</v>
      </c>
      <c r="G88" s="11" t="s">
        <v>26</v>
      </c>
      <c r="H88" s="12">
        <f>169079.48/1000</f>
        <v>169.07948000000002</v>
      </c>
      <c r="I88" s="20">
        <f>K88</f>
        <v>169.07948000000002</v>
      </c>
      <c r="J88" s="11" t="s">
        <v>26</v>
      </c>
      <c r="K88" s="24">
        <f>H88</f>
        <v>169.07948000000002</v>
      </c>
    </row>
    <row r="89" spans="2:11" ht="53.25" customHeight="1" x14ac:dyDescent="0.25">
      <c r="B89" s="163"/>
      <c r="C89" s="183" t="s">
        <v>59</v>
      </c>
      <c r="D89" s="183"/>
      <c r="E89" s="11" t="s">
        <v>26</v>
      </c>
      <c r="F89" s="12">
        <f t="shared" si="18"/>
        <v>166.42264</v>
      </c>
      <c r="G89" s="11" t="s">
        <v>26</v>
      </c>
      <c r="H89" s="12">
        <f>166422.64/1000</f>
        <v>166.42264</v>
      </c>
      <c r="I89" s="20">
        <f t="shared" ref="I89:I101" si="20">K89</f>
        <v>264.95736999999997</v>
      </c>
      <c r="J89" s="11" t="s">
        <v>26</v>
      </c>
      <c r="K89" s="24">
        <f>(244441.64+20515.73)/1000</f>
        <v>264.95736999999997</v>
      </c>
    </row>
    <row r="90" spans="2:11" ht="53.25" customHeight="1" x14ac:dyDescent="0.25">
      <c r="B90" s="163"/>
      <c r="C90" s="179" t="s">
        <v>60</v>
      </c>
      <c r="D90" s="180"/>
      <c r="E90" s="11" t="s">
        <v>26</v>
      </c>
      <c r="F90" s="12">
        <f t="shared" si="18"/>
        <v>208.84573999999998</v>
      </c>
      <c r="G90" s="11" t="s">
        <v>26</v>
      </c>
      <c r="H90" s="12">
        <f>208845.74/1000</f>
        <v>208.84573999999998</v>
      </c>
      <c r="I90" s="20">
        <f t="shared" si="20"/>
        <v>163.29776000000001</v>
      </c>
      <c r="J90" s="11" t="s">
        <v>26</v>
      </c>
      <c r="K90" s="24">
        <f>(152216.48+11081.28)/1000</f>
        <v>163.29776000000001</v>
      </c>
    </row>
    <row r="91" spans="2:11" ht="53.25" customHeight="1" x14ac:dyDescent="0.25">
      <c r="B91" s="163"/>
      <c r="C91" s="188" t="s">
        <v>61</v>
      </c>
      <c r="D91" s="167"/>
      <c r="E91" s="13" t="s">
        <v>26</v>
      </c>
      <c r="F91" s="14">
        <f t="shared" si="18"/>
        <v>154.09800582025898</v>
      </c>
      <c r="G91" s="13" t="s">
        <v>26</v>
      </c>
      <c r="H91" s="14">
        <f>154098.005820259/1000</f>
        <v>154.09800582025898</v>
      </c>
      <c r="I91" s="62">
        <f t="shared" si="20"/>
        <v>153.99395000000001</v>
      </c>
      <c r="J91" s="13" t="s">
        <v>26</v>
      </c>
      <c r="K91" s="25">
        <f>153993.95/1000</f>
        <v>153.99395000000001</v>
      </c>
    </row>
    <row r="92" spans="2:11" ht="53.25" customHeight="1" x14ac:dyDescent="0.25">
      <c r="B92" s="163"/>
      <c r="C92" s="179" t="s">
        <v>62</v>
      </c>
      <c r="D92" s="180"/>
      <c r="E92" s="11" t="s">
        <v>26</v>
      </c>
      <c r="F92" s="12">
        <f t="shared" si="18"/>
        <v>0</v>
      </c>
      <c r="G92" s="11" t="s">
        <v>26</v>
      </c>
      <c r="H92" s="12">
        <v>0</v>
      </c>
      <c r="I92" s="20">
        <f t="shared" si="20"/>
        <v>-237.95166</v>
      </c>
      <c r="J92" s="11" t="s">
        <v>26</v>
      </c>
      <c r="K92" s="24">
        <f>-237951.66/1000</f>
        <v>-237.95166</v>
      </c>
    </row>
    <row r="93" spans="2:11" ht="31.5" customHeight="1" x14ac:dyDescent="0.25">
      <c r="B93" s="163"/>
      <c r="C93" s="179" t="s">
        <v>67</v>
      </c>
      <c r="D93" s="180"/>
      <c r="E93" s="11" t="s">
        <v>26</v>
      </c>
      <c r="F93" s="12">
        <f t="shared" si="18"/>
        <v>195.45251000000002</v>
      </c>
      <c r="G93" s="11" t="s">
        <v>26</v>
      </c>
      <c r="H93" s="12">
        <f>(8156.62+187295.89)/1000</f>
        <v>195.45251000000002</v>
      </c>
      <c r="I93" s="21">
        <f t="shared" si="20"/>
        <v>195.45251000000002</v>
      </c>
      <c r="J93" s="11" t="s">
        <v>26</v>
      </c>
      <c r="K93" s="17">
        <f>H93</f>
        <v>195.45251000000002</v>
      </c>
    </row>
    <row r="94" spans="2:11" ht="44.25" customHeight="1" x14ac:dyDescent="0.25">
      <c r="B94" s="163"/>
      <c r="C94" s="165" t="s">
        <v>107</v>
      </c>
      <c r="D94" s="165"/>
      <c r="E94" s="13"/>
      <c r="F94" s="14">
        <f t="shared" si="18"/>
        <v>83.547610000000006</v>
      </c>
      <c r="G94" s="13" t="s">
        <v>26</v>
      </c>
      <c r="H94" s="14">
        <f>83547.61/1000</f>
        <v>83.547610000000006</v>
      </c>
      <c r="I94" s="62">
        <f t="shared" si="20"/>
        <v>83.547610000000006</v>
      </c>
      <c r="J94" s="13" t="s">
        <v>26</v>
      </c>
      <c r="K94" s="25">
        <f>H94</f>
        <v>83.547610000000006</v>
      </c>
    </row>
    <row r="95" spans="2:11" ht="42" customHeight="1" thickBot="1" x14ac:dyDescent="0.3">
      <c r="B95" s="151"/>
      <c r="C95" s="189" t="s">
        <v>68</v>
      </c>
      <c r="D95" s="190"/>
      <c r="E95" s="29" t="s">
        <v>26</v>
      </c>
      <c r="F95" s="39">
        <f>H95</f>
        <v>433.24063944618797</v>
      </c>
      <c r="G95" s="29" t="s">
        <v>26</v>
      </c>
      <c r="H95" s="54">
        <f>433240.639446188/1000</f>
        <v>433.24063944618797</v>
      </c>
      <c r="I95" s="40">
        <f>K95</f>
        <v>433.24063944618797</v>
      </c>
      <c r="J95" s="29" t="s">
        <v>26</v>
      </c>
      <c r="K95" s="41">
        <f>H95</f>
        <v>433.24063944618797</v>
      </c>
    </row>
    <row r="96" spans="2:11" ht="50.25" customHeight="1" x14ac:dyDescent="0.25">
      <c r="B96" s="150" t="s">
        <v>354</v>
      </c>
      <c r="C96" s="34" t="s">
        <v>27</v>
      </c>
      <c r="D96" s="90" t="s">
        <v>28</v>
      </c>
      <c r="E96" s="35" t="s">
        <v>29</v>
      </c>
      <c r="F96" s="12" t="str">
        <f>H96</f>
        <v>__</v>
      </c>
      <c r="G96" s="12" t="s">
        <v>26</v>
      </c>
      <c r="H96" s="12" t="s">
        <v>26</v>
      </c>
      <c r="I96" s="48">
        <f t="shared" si="20"/>
        <v>500</v>
      </c>
      <c r="J96" s="35" t="s">
        <v>42</v>
      </c>
      <c r="K96" s="36">
        <f>500000/1000</f>
        <v>500</v>
      </c>
    </row>
    <row r="97" spans="2:11" ht="53.25" customHeight="1" x14ac:dyDescent="0.25">
      <c r="B97" s="163"/>
      <c r="C97" s="165" t="s">
        <v>59</v>
      </c>
      <c r="D97" s="165"/>
      <c r="E97" s="13" t="s">
        <v>26</v>
      </c>
      <c r="F97" s="14">
        <f t="shared" si="18"/>
        <v>146.98126000000002</v>
      </c>
      <c r="G97" s="13" t="s">
        <v>26</v>
      </c>
      <c r="H97" s="14">
        <f>146981.26/1000</f>
        <v>146.98126000000002</v>
      </c>
      <c r="I97" s="62">
        <f t="shared" si="20"/>
        <v>179.94289999999998</v>
      </c>
      <c r="J97" s="13" t="s">
        <v>26</v>
      </c>
      <c r="K97" s="25">
        <f>(166417.96+13524.94)/1000</f>
        <v>179.94289999999998</v>
      </c>
    </row>
    <row r="98" spans="2:11" ht="53.25" customHeight="1" x14ac:dyDescent="0.25">
      <c r="B98" s="163"/>
      <c r="C98" s="179" t="s">
        <v>60</v>
      </c>
      <c r="D98" s="180"/>
      <c r="E98" s="11" t="s">
        <v>26</v>
      </c>
      <c r="F98" s="12">
        <f t="shared" si="18"/>
        <v>136.68001999999998</v>
      </c>
      <c r="G98" s="11" t="s">
        <v>26</v>
      </c>
      <c r="H98" s="12">
        <f>136680.02/1000</f>
        <v>136.68001999999998</v>
      </c>
      <c r="I98" s="20">
        <f t="shared" si="20"/>
        <v>89.382429999999999</v>
      </c>
      <c r="J98" s="11" t="s">
        <v>26</v>
      </c>
      <c r="K98" s="24">
        <f>(83397+5985.43)/1000</f>
        <v>89.382429999999999</v>
      </c>
    </row>
    <row r="99" spans="2:11" ht="53.25" customHeight="1" x14ac:dyDescent="0.25">
      <c r="B99" s="163"/>
      <c r="C99" s="188" t="s">
        <v>61</v>
      </c>
      <c r="D99" s="167"/>
      <c r="E99" s="13" t="s">
        <v>26</v>
      </c>
      <c r="F99" s="14">
        <f t="shared" si="18"/>
        <v>60.181677770792795</v>
      </c>
      <c r="G99" s="13" t="s">
        <v>26</v>
      </c>
      <c r="H99" s="12">
        <f>60181.6777707928/1000</f>
        <v>60.181677770792795</v>
      </c>
      <c r="I99" s="62">
        <f t="shared" si="20"/>
        <v>0</v>
      </c>
      <c r="J99" s="13" t="s">
        <v>26</v>
      </c>
      <c r="K99" s="25">
        <v>0</v>
      </c>
    </row>
    <row r="100" spans="2:11" ht="53.25" customHeight="1" x14ac:dyDescent="0.25">
      <c r="B100" s="163"/>
      <c r="C100" s="179" t="s">
        <v>62</v>
      </c>
      <c r="D100" s="180"/>
      <c r="E100" s="11" t="s">
        <v>26</v>
      </c>
      <c r="F100" s="12">
        <f t="shared" si="18"/>
        <v>0</v>
      </c>
      <c r="G100" s="11" t="s">
        <v>26</v>
      </c>
      <c r="H100" s="12">
        <v>0</v>
      </c>
      <c r="I100" s="20">
        <f t="shared" si="20"/>
        <v>-30.45674</v>
      </c>
      <c r="J100" s="11" t="s">
        <v>26</v>
      </c>
      <c r="K100" s="24">
        <f>-30456.74/1000</f>
        <v>-30.45674</v>
      </c>
    </row>
    <row r="101" spans="2:11" ht="53.25" customHeight="1" thickBot="1" x14ac:dyDescent="0.3">
      <c r="B101" s="151"/>
      <c r="C101" s="181" t="s">
        <v>67</v>
      </c>
      <c r="D101" s="182"/>
      <c r="E101" s="38" t="s">
        <v>26</v>
      </c>
      <c r="F101" s="39">
        <f t="shared" si="18"/>
        <v>44.473399999999998</v>
      </c>
      <c r="G101" s="38" t="s">
        <v>26</v>
      </c>
      <c r="H101" s="39">
        <f>44473.4/1000</f>
        <v>44.473399999999998</v>
      </c>
      <c r="I101" s="40">
        <f t="shared" si="20"/>
        <v>44.473399999999998</v>
      </c>
      <c r="J101" s="38" t="s">
        <v>26</v>
      </c>
      <c r="K101" s="41">
        <f>H101</f>
        <v>44.473399999999998</v>
      </c>
    </row>
    <row r="102" spans="2:11" ht="117" customHeight="1" x14ac:dyDescent="0.25">
      <c r="B102" s="150" t="s">
        <v>355</v>
      </c>
      <c r="C102" s="9" t="s">
        <v>380</v>
      </c>
      <c r="D102" s="9" t="s">
        <v>381</v>
      </c>
      <c r="E102" s="10">
        <v>1766.16</v>
      </c>
      <c r="F102" s="10">
        <f>H102</f>
        <v>1212.2953500000001</v>
      </c>
      <c r="G102" s="35" t="s">
        <v>384</v>
      </c>
      <c r="H102" s="35">
        <f>1212295.35/1000</f>
        <v>1212.2953500000001</v>
      </c>
      <c r="I102" s="35" t="str">
        <f>K102</f>
        <v>__</v>
      </c>
      <c r="J102" s="35" t="s">
        <v>26</v>
      </c>
      <c r="K102" s="36" t="s">
        <v>26</v>
      </c>
    </row>
    <row r="103" spans="2:11" ht="32.25" customHeight="1" x14ac:dyDescent="0.25">
      <c r="B103" s="163"/>
      <c r="C103" s="11" t="s">
        <v>391</v>
      </c>
      <c r="D103" s="11" t="s">
        <v>392</v>
      </c>
      <c r="E103" s="12">
        <v>4500</v>
      </c>
      <c r="F103" s="12">
        <f>H103</f>
        <v>1350</v>
      </c>
      <c r="G103" s="14" t="s">
        <v>395</v>
      </c>
      <c r="H103" s="14">
        <f>1350000/1000</f>
        <v>1350</v>
      </c>
      <c r="I103" s="12" t="str">
        <f t="shared" ref="I103" si="21">K103</f>
        <v>__</v>
      </c>
      <c r="J103" s="12" t="s">
        <v>26</v>
      </c>
      <c r="K103" s="17" t="s">
        <v>26</v>
      </c>
    </row>
    <row r="104" spans="2:11" ht="47.25" customHeight="1" x14ac:dyDescent="0.25">
      <c r="B104" s="163"/>
      <c r="C104" s="13" t="s">
        <v>396</v>
      </c>
      <c r="D104" s="88" t="s">
        <v>397</v>
      </c>
      <c r="E104" s="14">
        <f>3788600/1000</f>
        <v>3788.6</v>
      </c>
      <c r="F104" s="14">
        <f>H104</f>
        <v>3788.6</v>
      </c>
      <c r="G104" s="14" t="s">
        <v>398</v>
      </c>
      <c r="H104" s="14">
        <f>3788600/1000</f>
        <v>3788.6</v>
      </c>
      <c r="I104" s="12" t="str">
        <f>K104</f>
        <v>__</v>
      </c>
      <c r="J104" s="12" t="s">
        <v>26</v>
      </c>
      <c r="K104" s="17" t="s">
        <v>26</v>
      </c>
    </row>
    <row r="105" spans="2:11" ht="42.75" customHeight="1" x14ac:dyDescent="0.25">
      <c r="B105" s="163"/>
      <c r="C105" s="11" t="s">
        <v>43</v>
      </c>
      <c r="D105" s="11" t="s">
        <v>44</v>
      </c>
      <c r="E105" s="57" t="s">
        <v>26</v>
      </c>
      <c r="F105" s="14">
        <f>H105</f>
        <v>105.70194000000001</v>
      </c>
      <c r="G105" s="12" t="s">
        <v>45</v>
      </c>
      <c r="H105" s="12">
        <f>105701.94/1000</f>
        <v>105.70194000000001</v>
      </c>
      <c r="I105" s="12" t="str">
        <f t="shared" ref="I105:I108" si="22">K105</f>
        <v>__</v>
      </c>
      <c r="J105" s="12" t="s">
        <v>26</v>
      </c>
      <c r="K105" s="17" t="s">
        <v>26</v>
      </c>
    </row>
    <row r="106" spans="2:11" ht="42.75" customHeight="1" x14ac:dyDescent="0.25">
      <c r="B106" s="163"/>
      <c r="C106" s="11" t="s">
        <v>250</v>
      </c>
      <c r="D106" s="22" t="s">
        <v>402</v>
      </c>
      <c r="E106" s="53">
        <f>268000/1000</f>
        <v>268</v>
      </c>
      <c r="F106" s="14">
        <f>H106</f>
        <v>268</v>
      </c>
      <c r="G106" s="14" t="s">
        <v>403</v>
      </c>
      <c r="H106" s="14">
        <f>268000/1000</f>
        <v>268</v>
      </c>
      <c r="I106" s="12" t="str">
        <f t="shared" si="22"/>
        <v>__</v>
      </c>
      <c r="J106" s="12" t="s">
        <v>26</v>
      </c>
      <c r="K106" s="17" t="s">
        <v>26</v>
      </c>
    </row>
    <row r="107" spans="2:11" ht="46.5" customHeight="1" x14ac:dyDescent="0.25">
      <c r="B107" s="163"/>
      <c r="C107" s="11" t="s">
        <v>410</v>
      </c>
      <c r="D107" s="22" t="s">
        <v>411</v>
      </c>
      <c r="E107" s="20">
        <f>236500/1000</f>
        <v>236.5</v>
      </c>
      <c r="F107" s="12">
        <f t="shared" ref="F107" si="23">H107</f>
        <v>236.5</v>
      </c>
      <c r="G107" s="11" t="s">
        <v>412</v>
      </c>
      <c r="H107" s="12">
        <f>236500/1000</f>
        <v>236.5</v>
      </c>
      <c r="I107" s="12">
        <f t="shared" si="22"/>
        <v>236.5</v>
      </c>
      <c r="J107" s="20" t="s">
        <v>413</v>
      </c>
      <c r="K107" s="92">
        <f>236500/1000</f>
        <v>236.5</v>
      </c>
    </row>
    <row r="108" spans="2:11" ht="45" customHeight="1" thickBot="1" x14ac:dyDescent="0.3">
      <c r="B108" s="151"/>
      <c r="C108" s="29" t="s">
        <v>81</v>
      </c>
      <c r="D108" s="102" t="s">
        <v>414</v>
      </c>
      <c r="E108" s="31">
        <f>523458.46/1000</f>
        <v>523.45846000000006</v>
      </c>
      <c r="F108" s="30">
        <f>H108</f>
        <v>523.45844</v>
      </c>
      <c r="G108" s="29" t="s">
        <v>415</v>
      </c>
      <c r="H108" s="30">
        <f>523458.44/1000</f>
        <v>523.45844</v>
      </c>
      <c r="I108" s="30">
        <f t="shared" si="22"/>
        <v>523.45844</v>
      </c>
      <c r="J108" s="31" t="s">
        <v>416</v>
      </c>
      <c r="K108" s="32">
        <f>523458.44/1000</f>
        <v>523.45844</v>
      </c>
    </row>
    <row r="109" spans="2:11" ht="54" customHeight="1" x14ac:dyDescent="0.25">
      <c r="B109" s="150" t="s">
        <v>417</v>
      </c>
      <c r="C109" s="261" t="s">
        <v>421</v>
      </c>
      <c r="D109" s="232" t="s">
        <v>454</v>
      </c>
      <c r="E109" s="155">
        <f>33884745.19/1000</f>
        <v>33884.745189999994</v>
      </c>
      <c r="F109" s="155" t="str">
        <f t="shared" ref="F109" si="24">H109</f>
        <v>__</v>
      </c>
      <c r="G109" s="155" t="s">
        <v>26</v>
      </c>
      <c r="H109" s="155" t="s">
        <v>26</v>
      </c>
      <c r="I109" s="155">
        <f>K109+K110+K111+K112+K113+K114+K115+K116</f>
        <v>10007.412979999999</v>
      </c>
      <c r="J109" s="35" t="s">
        <v>24</v>
      </c>
      <c r="K109" s="36">
        <f>1473647.47/1000</f>
        <v>1473.6474699999999</v>
      </c>
    </row>
    <row r="110" spans="2:11" ht="54" customHeight="1" x14ac:dyDescent="0.25">
      <c r="B110" s="163"/>
      <c r="C110" s="183"/>
      <c r="D110" s="196"/>
      <c r="E110" s="169"/>
      <c r="F110" s="169"/>
      <c r="G110" s="169" t="s">
        <v>26</v>
      </c>
      <c r="H110" s="169" t="s">
        <v>26</v>
      </c>
      <c r="I110" s="169"/>
      <c r="J110" s="14" t="s">
        <v>49</v>
      </c>
      <c r="K110" s="19">
        <f>1304011.91/1000</f>
        <v>1304.0119099999999</v>
      </c>
    </row>
    <row r="111" spans="2:11" ht="54" customHeight="1" x14ac:dyDescent="0.25">
      <c r="B111" s="163"/>
      <c r="C111" s="183"/>
      <c r="D111" s="196"/>
      <c r="E111" s="169"/>
      <c r="F111" s="169"/>
      <c r="G111" s="169" t="s">
        <v>26</v>
      </c>
      <c r="H111" s="169" t="s">
        <v>26</v>
      </c>
      <c r="I111" s="169"/>
      <c r="J111" s="14" t="s">
        <v>455</v>
      </c>
      <c r="K111" s="19">
        <f>191171.95/1000</f>
        <v>191.17195000000001</v>
      </c>
    </row>
    <row r="112" spans="2:11" ht="54" customHeight="1" x14ac:dyDescent="0.25">
      <c r="B112" s="163"/>
      <c r="C112" s="183"/>
      <c r="D112" s="196"/>
      <c r="E112" s="169"/>
      <c r="F112" s="169"/>
      <c r="G112" s="169" t="s">
        <v>26</v>
      </c>
      <c r="H112" s="169" t="s">
        <v>26</v>
      </c>
      <c r="I112" s="169"/>
      <c r="J112" s="14" t="s">
        <v>456</v>
      </c>
      <c r="K112" s="19">
        <f>1507370.3/1000</f>
        <v>1507.3703</v>
      </c>
    </row>
    <row r="113" spans="2:11" ht="54" customHeight="1" x14ac:dyDescent="0.25">
      <c r="B113" s="163"/>
      <c r="C113" s="183"/>
      <c r="D113" s="196"/>
      <c r="E113" s="169"/>
      <c r="F113" s="169"/>
      <c r="G113" s="169" t="s">
        <v>26</v>
      </c>
      <c r="H113" s="169" t="s">
        <v>26</v>
      </c>
      <c r="I113" s="169"/>
      <c r="J113" s="14" t="s">
        <v>457</v>
      </c>
      <c r="K113" s="19">
        <f>1590692.06/1000</f>
        <v>1590.6920600000001</v>
      </c>
    </row>
    <row r="114" spans="2:11" ht="54" customHeight="1" x14ac:dyDescent="0.25">
      <c r="B114" s="163"/>
      <c r="C114" s="183"/>
      <c r="D114" s="196"/>
      <c r="E114" s="169"/>
      <c r="F114" s="169"/>
      <c r="G114" s="169" t="s">
        <v>26</v>
      </c>
      <c r="H114" s="169" t="s">
        <v>26</v>
      </c>
      <c r="I114" s="169"/>
      <c r="J114" s="14" t="s">
        <v>458</v>
      </c>
      <c r="K114" s="19">
        <f>1925125.44/1000</f>
        <v>1925.12544</v>
      </c>
    </row>
    <row r="115" spans="2:11" ht="54" customHeight="1" x14ac:dyDescent="0.25">
      <c r="B115" s="163"/>
      <c r="C115" s="183"/>
      <c r="D115" s="196"/>
      <c r="E115" s="169"/>
      <c r="F115" s="169"/>
      <c r="G115" s="169" t="s">
        <v>26</v>
      </c>
      <c r="H115" s="169" t="s">
        <v>26</v>
      </c>
      <c r="I115" s="169"/>
      <c r="J115" s="14" t="s">
        <v>459</v>
      </c>
      <c r="K115" s="19">
        <f>1062914.85/1000</f>
        <v>1062.9148500000001</v>
      </c>
    </row>
    <row r="116" spans="2:11" ht="54" customHeight="1" x14ac:dyDescent="0.25">
      <c r="B116" s="163"/>
      <c r="C116" s="164"/>
      <c r="D116" s="196"/>
      <c r="E116" s="169"/>
      <c r="F116" s="156"/>
      <c r="G116" s="156" t="s">
        <v>26</v>
      </c>
      <c r="H116" s="156" t="s">
        <v>26</v>
      </c>
      <c r="I116" s="169"/>
      <c r="J116" s="14" t="s">
        <v>460</v>
      </c>
      <c r="K116" s="19">
        <f>952479/1000</f>
        <v>952.47900000000004</v>
      </c>
    </row>
    <row r="117" spans="2:11" ht="43.5" customHeight="1" x14ac:dyDescent="0.25">
      <c r="B117" s="163"/>
      <c r="C117" s="11" t="s">
        <v>464</v>
      </c>
      <c r="D117" s="11" t="s">
        <v>44</v>
      </c>
      <c r="E117" s="12" t="s">
        <v>26</v>
      </c>
      <c r="F117" s="14">
        <f>H117</f>
        <v>5506.6967000000004</v>
      </c>
      <c r="G117" s="12" t="s">
        <v>465</v>
      </c>
      <c r="H117" s="12">
        <f>5506696.7/1000</f>
        <v>5506.6967000000004</v>
      </c>
      <c r="I117" s="12">
        <f>K117</f>
        <v>5506.6967000000004</v>
      </c>
      <c r="J117" s="12" t="s">
        <v>466</v>
      </c>
      <c r="K117" s="19">
        <f>5506696.7/1000</f>
        <v>5506.6967000000004</v>
      </c>
    </row>
    <row r="118" spans="2:11" ht="55.5" customHeight="1" x14ac:dyDescent="0.25">
      <c r="B118" s="163"/>
      <c r="C118" s="11" t="s">
        <v>27</v>
      </c>
      <c r="D118" s="11" t="s">
        <v>28</v>
      </c>
      <c r="E118" s="14" t="s">
        <v>29</v>
      </c>
      <c r="F118" s="12">
        <f>H118</f>
        <v>1047.92318</v>
      </c>
      <c r="G118" s="11" t="s">
        <v>470</v>
      </c>
      <c r="H118" s="12">
        <f>1047923.18/1000</f>
        <v>1047.92318</v>
      </c>
      <c r="I118" s="12">
        <f>K118</f>
        <v>500</v>
      </c>
      <c r="J118" s="12" t="s">
        <v>42</v>
      </c>
      <c r="K118" s="17">
        <f>500000/1000</f>
        <v>500</v>
      </c>
    </row>
    <row r="119" spans="2:11" ht="46.5" customHeight="1" x14ac:dyDescent="0.25">
      <c r="B119" s="163"/>
      <c r="C119" s="93" t="s">
        <v>473</v>
      </c>
      <c r="D119" s="14" t="s">
        <v>26</v>
      </c>
      <c r="E119" s="14" t="s">
        <v>26</v>
      </c>
      <c r="F119" s="14" t="s">
        <v>26</v>
      </c>
      <c r="G119" s="14" t="s">
        <v>26</v>
      </c>
      <c r="H119" s="14" t="s">
        <v>26</v>
      </c>
      <c r="I119" s="89">
        <f>K119</f>
        <v>78.369119999999995</v>
      </c>
      <c r="J119" s="89" t="s">
        <v>474</v>
      </c>
      <c r="K119" s="19">
        <f>78369.12/1000</f>
        <v>78.369119999999995</v>
      </c>
    </row>
    <row r="120" spans="2:11" ht="46.5" customHeight="1" x14ac:dyDescent="0.25">
      <c r="B120" s="163"/>
      <c r="C120" s="93" t="s">
        <v>473</v>
      </c>
      <c r="D120" s="12" t="s">
        <v>26</v>
      </c>
      <c r="E120" s="12" t="s">
        <v>26</v>
      </c>
      <c r="F120" s="89">
        <f>H120</f>
        <v>25.087799999999998</v>
      </c>
      <c r="G120" s="14" t="s">
        <v>475</v>
      </c>
      <c r="H120" s="12">
        <f>25087.8/1000</f>
        <v>25.087799999999998</v>
      </c>
      <c r="I120" s="94">
        <f>K120</f>
        <v>25.087799999999998</v>
      </c>
      <c r="J120" s="94" t="s">
        <v>476</v>
      </c>
      <c r="K120" s="60">
        <f>25087.8/1000</f>
        <v>25.087799999999998</v>
      </c>
    </row>
    <row r="121" spans="2:11" ht="46.5" customHeight="1" x14ac:dyDescent="0.25">
      <c r="B121" s="163"/>
      <c r="C121" s="183" t="s">
        <v>81</v>
      </c>
      <c r="D121" s="195" t="s">
        <v>477</v>
      </c>
      <c r="E121" s="168">
        <f>18903434.35/1000</f>
        <v>18903.434350000003</v>
      </c>
      <c r="F121" s="168">
        <f>H121+H122</f>
        <v>18903.34274</v>
      </c>
      <c r="G121" s="14" t="s">
        <v>478</v>
      </c>
      <c r="H121" s="12">
        <f>9682387.96/1000</f>
        <v>9682.38796</v>
      </c>
      <c r="I121" s="12" t="str">
        <f t="shared" ref="I121:I126" si="25">K121</f>
        <v>__</v>
      </c>
      <c r="J121" s="12" t="s">
        <v>26</v>
      </c>
      <c r="K121" s="17" t="s">
        <v>26</v>
      </c>
    </row>
    <row r="122" spans="2:11" ht="46.5" customHeight="1" x14ac:dyDescent="0.25">
      <c r="B122" s="163"/>
      <c r="C122" s="183"/>
      <c r="D122" s="200"/>
      <c r="E122" s="156"/>
      <c r="F122" s="156"/>
      <c r="G122" s="14" t="s">
        <v>479</v>
      </c>
      <c r="H122" s="12">
        <f>9220954.78/1000</f>
        <v>9220.95478</v>
      </c>
      <c r="I122" s="12" t="str">
        <f t="shared" si="25"/>
        <v>__</v>
      </c>
      <c r="J122" s="12" t="s">
        <v>26</v>
      </c>
      <c r="K122" s="17" t="s">
        <v>26</v>
      </c>
    </row>
    <row r="123" spans="2:11" ht="46.5" customHeight="1" x14ac:dyDescent="0.25">
      <c r="B123" s="163"/>
      <c r="C123" s="11" t="s">
        <v>43</v>
      </c>
      <c r="D123" s="11" t="s">
        <v>44</v>
      </c>
      <c r="E123" s="57" t="s">
        <v>26</v>
      </c>
      <c r="F123" s="14">
        <f>H123</f>
        <v>480.05205999999998</v>
      </c>
      <c r="G123" s="12" t="s">
        <v>167</v>
      </c>
      <c r="H123" s="12">
        <f>480052.06/1000</f>
        <v>480.05205999999998</v>
      </c>
      <c r="I123" s="12" t="str">
        <f t="shared" si="25"/>
        <v>__</v>
      </c>
      <c r="J123" s="12" t="s">
        <v>26</v>
      </c>
      <c r="K123" s="17" t="s">
        <v>26</v>
      </c>
    </row>
    <row r="124" spans="2:11" ht="46.5" customHeight="1" x14ac:dyDescent="0.25">
      <c r="B124" s="163"/>
      <c r="C124" s="11" t="s">
        <v>43</v>
      </c>
      <c r="D124" s="11" t="s">
        <v>44</v>
      </c>
      <c r="E124" s="57" t="s">
        <v>26</v>
      </c>
      <c r="F124" s="14">
        <f>H124</f>
        <v>37.89855</v>
      </c>
      <c r="G124" s="12" t="s">
        <v>465</v>
      </c>
      <c r="H124" s="12">
        <f>37898.55/1000</f>
        <v>37.89855</v>
      </c>
      <c r="I124" s="12" t="str">
        <f t="shared" si="25"/>
        <v>__</v>
      </c>
      <c r="J124" s="12" t="s">
        <v>26</v>
      </c>
      <c r="K124" s="17" t="s">
        <v>26</v>
      </c>
    </row>
    <row r="125" spans="2:11" ht="46.5" customHeight="1" x14ac:dyDescent="0.25">
      <c r="B125" s="163"/>
      <c r="C125" s="11" t="s">
        <v>81</v>
      </c>
      <c r="D125" s="89" t="s">
        <v>480</v>
      </c>
      <c r="E125" s="14">
        <f>1529429.09/1000</f>
        <v>1529.4290900000001</v>
      </c>
      <c r="F125" s="14">
        <f>H125</f>
        <v>1529.4290900000001</v>
      </c>
      <c r="G125" s="14" t="s">
        <v>481</v>
      </c>
      <c r="H125" s="12">
        <f>1529429.09/1000</f>
        <v>1529.4290900000001</v>
      </c>
      <c r="I125" s="12" t="str">
        <f t="shared" si="25"/>
        <v>__</v>
      </c>
      <c r="J125" s="12" t="s">
        <v>26</v>
      </c>
      <c r="K125" s="17" t="s">
        <v>26</v>
      </c>
    </row>
    <row r="126" spans="2:11" ht="46.5" customHeight="1" x14ac:dyDescent="0.25">
      <c r="B126" s="163"/>
      <c r="C126" s="11" t="s">
        <v>43</v>
      </c>
      <c r="D126" s="11" t="s">
        <v>44</v>
      </c>
      <c r="E126" s="57" t="s">
        <v>26</v>
      </c>
      <c r="F126" s="14">
        <f>H126</f>
        <v>0.12146</v>
      </c>
      <c r="G126" s="12" t="s">
        <v>465</v>
      </c>
      <c r="H126" s="12">
        <f>121.46/1000</f>
        <v>0.12146</v>
      </c>
      <c r="I126" s="12" t="str">
        <f t="shared" si="25"/>
        <v>__</v>
      </c>
      <c r="J126" s="12" t="s">
        <v>26</v>
      </c>
      <c r="K126" s="17" t="s">
        <v>26</v>
      </c>
    </row>
    <row r="127" spans="2:11" ht="46.5" customHeight="1" x14ac:dyDescent="0.25">
      <c r="B127" s="163"/>
      <c r="C127" s="179" t="s">
        <v>482</v>
      </c>
      <c r="D127" s="180"/>
      <c r="E127" s="14" t="s">
        <v>26</v>
      </c>
      <c r="F127" s="14" t="s">
        <v>26</v>
      </c>
      <c r="G127" s="14" t="s">
        <v>26</v>
      </c>
      <c r="H127" s="14" t="s">
        <v>26</v>
      </c>
      <c r="I127" s="12">
        <f>K127</f>
        <v>1329.7111312</v>
      </c>
      <c r="J127" s="14" t="s">
        <v>26</v>
      </c>
      <c r="K127" s="19">
        <f>1126873.84*1.18/1000</f>
        <v>1329.7111312</v>
      </c>
    </row>
    <row r="128" spans="2:11" ht="53.25" customHeight="1" x14ac:dyDescent="0.25">
      <c r="B128" s="163"/>
      <c r="C128" s="183" t="s">
        <v>59</v>
      </c>
      <c r="D128" s="183"/>
      <c r="E128" s="11" t="s">
        <v>26</v>
      </c>
      <c r="F128" s="12">
        <f t="shared" ref="F128:F131" si="26">H128</f>
        <v>137.83266</v>
      </c>
      <c r="G128" s="11" t="s">
        <v>26</v>
      </c>
      <c r="H128" s="12">
        <f>137832.66/1000</f>
        <v>137.83266</v>
      </c>
      <c r="I128" s="20">
        <f t="shared" ref="I128:I146" si="27">K128</f>
        <v>163.78626</v>
      </c>
      <c r="J128" s="11" t="s">
        <v>26</v>
      </c>
      <c r="K128" s="24">
        <f>(151144.47+12641.79)/1000</f>
        <v>163.78626</v>
      </c>
    </row>
    <row r="129" spans="2:11" ht="53.25" customHeight="1" x14ac:dyDescent="0.25">
      <c r="B129" s="163"/>
      <c r="C129" s="179" t="s">
        <v>60</v>
      </c>
      <c r="D129" s="180"/>
      <c r="E129" s="11" t="s">
        <v>26</v>
      </c>
      <c r="F129" s="12">
        <f t="shared" si="26"/>
        <v>146.20089999999999</v>
      </c>
      <c r="G129" s="11" t="s">
        <v>26</v>
      </c>
      <c r="H129" s="12">
        <f>146200.9/1000</f>
        <v>146.20089999999999</v>
      </c>
      <c r="I129" s="20">
        <f t="shared" si="27"/>
        <v>172.84481</v>
      </c>
      <c r="J129" s="11" t="s">
        <v>26</v>
      </c>
      <c r="K129" s="24">
        <f>(161258.79+11586.02)/1000</f>
        <v>172.84481</v>
      </c>
    </row>
    <row r="130" spans="2:11" ht="53.25" customHeight="1" x14ac:dyDescent="0.25">
      <c r="B130" s="163"/>
      <c r="C130" s="188" t="s">
        <v>61</v>
      </c>
      <c r="D130" s="167"/>
      <c r="E130" s="13" t="s">
        <v>26</v>
      </c>
      <c r="F130" s="14">
        <f t="shared" si="26"/>
        <v>164.94112891705598</v>
      </c>
      <c r="G130" s="13" t="s">
        <v>26</v>
      </c>
      <c r="H130" s="14">
        <f>164941.128917056/1000</f>
        <v>164.94112891705598</v>
      </c>
      <c r="I130" s="62">
        <f t="shared" si="27"/>
        <v>164.53249</v>
      </c>
      <c r="J130" s="13" t="s">
        <v>26</v>
      </c>
      <c r="K130" s="25">
        <f>164532.49/1000</f>
        <v>164.53249</v>
      </c>
    </row>
    <row r="131" spans="2:11" ht="53.25" customHeight="1" x14ac:dyDescent="0.25">
      <c r="B131" s="163"/>
      <c r="C131" s="179" t="s">
        <v>62</v>
      </c>
      <c r="D131" s="180"/>
      <c r="E131" s="11" t="s">
        <v>26</v>
      </c>
      <c r="F131" s="12">
        <f t="shared" si="26"/>
        <v>0</v>
      </c>
      <c r="G131" s="11" t="s">
        <v>26</v>
      </c>
      <c r="H131" s="12">
        <v>0</v>
      </c>
      <c r="I131" s="20">
        <f t="shared" si="27"/>
        <v>-73.46750999999999</v>
      </c>
      <c r="J131" s="11" t="s">
        <v>26</v>
      </c>
      <c r="K131" s="24">
        <f>-73467.51/1000</f>
        <v>-73.46750999999999</v>
      </c>
    </row>
    <row r="132" spans="2:11" ht="33.75" customHeight="1" x14ac:dyDescent="0.25">
      <c r="B132" s="163"/>
      <c r="C132" s="183" t="s">
        <v>67</v>
      </c>
      <c r="D132" s="183"/>
      <c r="E132" s="11" t="s">
        <v>26</v>
      </c>
      <c r="F132" s="12">
        <f>H132</f>
        <v>52.698809999999995</v>
      </c>
      <c r="G132" s="11" t="s">
        <v>26</v>
      </c>
      <c r="H132" s="12">
        <f>(8225.41+44473.4)/1000</f>
        <v>52.698809999999995</v>
      </c>
      <c r="I132" s="20">
        <f t="shared" si="27"/>
        <v>52.698809999999995</v>
      </c>
      <c r="J132" s="11" t="s">
        <v>26</v>
      </c>
      <c r="K132" s="24">
        <f>H132</f>
        <v>52.698809999999995</v>
      </c>
    </row>
    <row r="133" spans="2:11" ht="44.25" customHeight="1" x14ac:dyDescent="0.25">
      <c r="B133" s="163"/>
      <c r="C133" s="165" t="s">
        <v>107</v>
      </c>
      <c r="D133" s="165"/>
      <c r="E133" s="13"/>
      <c r="F133" s="14">
        <f t="shared" ref="F133" si="28">H133</f>
        <v>483.84921999999995</v>
      </c>
      <c r="G133" s="13" t="s">
        <v>26</v>
      </c>
      <c r="H133" s="14">
        <f>483849.22/1000</f>
        <v>483.84921999999995</v>
      </c>
      <c r="I133" s="62">
        <f t="shared" si="27"/>
        <v>483.84921999999995</v>
      </c>
      <c r="J133" s="13" t="s">
        <v>26</v>
      </c>
      <c r="K133" s="25">
        <f>H133</f>
        <v>483.84921999999995</v>
      </c>
    </row>
    <row r="134" spans="2:11" ht="42" customHeight="1" thickBot="1" x14ac:dyDescent="0.3">
      <c r="B134" s="151"/>
      <c r="C134" s="189" t="s">
        <v>68</v>
      </c>
      <c r="D134" s="190"/>
      <c r="E134" s="29" t="s">
        <v>26</v>
      </c>
      <c r="F134" s="30">
        <f>H134</f>
        <v>985.20527015770995</v>
      </c>
      <c r="G134" s="29" t="s">
        <v>26</v>
      </c>
      <c r="H134" s="95">
        <f>985205.27015771/1000</f>
        <v>985.20527015770995</v>
      </c>
      <c r="I134" s="31">
        <f>K134</f>
        <v>985.20527015770995</v>
      </c>
      <c r="J134" s="29" t="s">
        <v>26</v>
      </c>
      <c r="K134" s="32">
        <f>H134</f>
        <v>985.20527015770995</v>
      </c>
    </row>
    <row r="135" spans="2:11" ht="50.25" customHeight="1" x14ac:dyDescent="0.25">
      <c r="B135" s="192" t="s">
        <v>485</v>
      </c>
      <c r="C135" s="34" t="s">
        <v>27</v>
      </c>
      <c r="D135" s="90" t="s">
        <v>28</v>
      </c>
      <c r="E135" s="35" t="s">
        <v>29</v>
      </c>
      <c r="F135" s="12" t="str">
        <f t="shared" ref="F135" si="29">H135</f>
        <v>__</v>
      </c>
      <c r="G135" s="12" t="s">
        <v>26</v>
      </c>
      <c r="H135" s="35" t="s">
        <v>26</v>
      </c>
      <c r="I135" s="110">
        <f t="shared" si="27"/>
        <v>150</v>
      </c>
      <c r="J135" s="35" t="s">
        <v>42</v>
      </c>
      <c r="K135" s="36">
        <f>150000/1000</f>
        <v>150</v>
      </c>
    </row>
    <row r="136" spans="2:11" ht="51" customHeight="1" thickBot="1" x14ac:dyDescent="0.3">
      <c r="B136" s="193"/>
      <c r="C136" s="189" t="s">
        <v>67</v>
      </c>
      <c r="D136" s="190"/>
      <c r="E136" s="29" t="s">
        <v>26</v>
      </c>
      <c r="F136" s="30">
        <f>H136</f>
        <v>13.34202</v>
      </c>
      <c r="G136" s="29" t="s">
        <v>26</v>
      </c>
      <c r="H136" s="30">
        <f>13342.02/1000</f>
        <v>13.34202</v>
      </c>
      <c r="I136" s="31">
        <f t="shared" si="27"/>
        <v>13.34202</v>
      </c>
      <c r="J136" s="29" t="s">
        <v>26</v>
      </c>
      <c r="K136" s="32">
        <f>H136</f>
        <v>13.34202</v>
      </c>
    </row>
    <row r="137" spans="2:11" ht="50.25" customHeight="1" x14ac:dyDescent="0.25">
      <c r="B137" s="150" t="s">
        <v>486</v>
      </c>
      <c r="C137" s="34" t="s">
        <v>27</v>
      </c>
      <c r="D137" s="90" t="s">
        <v>28</v>
      </c>
      <c r="E137" s="35" t="s">
        <v>29</v>
      </c>
      <c r="F137" s="12" t="str">
        <f t="shared" ref="F137" si="30">H137</f>
        <v>__</v>
      </c>
      <c r="G137" s="12" t="s">
        <v>26</v>
      </c>
      <c r="H137" s="35" t="s">
        <v>26</v>
      </c>
      <c r="I137" s="110">
        <f t="shared" si="27"/>
        <v>300</v>
      </c>
      <c r="J137" s="35" t="s">
        <v>42</v>
      </c>
      <c r="K137" s="36">
        <f>300000/1000</f>
        <v>300</v>
      </c>
    </row>
    <row r="138" spans="2:11" ht="50.25" customHeight="1" x14ac:dyDescent="0.25">
      <c r="B138" s="163"/>
      <c r="C138" s="183" t="s">
        <v>270</v>
      </c>
      <c r="D138" s="153" t="s">
        <v>487</v>
      </c>
      <c r="E138" s="168">
        <f>13044711.21/1000</f>
        <v>13044.711210000001</v>
      </c>
      <c r="F138" s="168">
        <f>H138</f>
        <v>2428.636</v>
      </c>
      <c r="G138" s="13" t="s">
        <v>488</v>
      </c>
      <c r="H138" s="14">
        <f>2428636/1000</f>
        <v>2428.636</v>
      </c>
      <c r="I138" s="168">
        <f>K138+K139+K140+K141+K142</f>
        <v>12197.34318</v>
      </c>
      <c r="J138" s="14" t="s">
        <v>489</v>
      </c>
      <c r="K138" s="19">
        <f>1127100.98/1000</f>
        <v>1127.1009799999999</v>
      </c>
    </row>
    <row r="139" spans="2:11" ht="50.25" customHeight="1" x14ac:dyDescent="0.25">
      <c r="B139" s="163"/>
      <c r="C139" s="183"/>
      <c r="D139" s="166"/>
      <c r="E139" s="169"/>
      <c r="F139" s="169"/>
      <c r="G139" s="168" t="s">
        <v>26</v>
      </c>
      <c r="H139" s="168" t="s">
        <v>26</v>
      </c>
      <c r="I139" s="169"/>
      <c r="J139" s="14" t="s">
        <v>490</v>
      </c>
      <c r="K139" s="19">
        <f>329862.89/1000</f>
        <v>329.86288999999999</v>
      </c>
    </row>
    <row r="140" spans="2:11" ht="50.25" customHeight="1" x14ac:dyDescent="0.25">
      <c r="B140" s="163"/>
      <c r="C140" s="183"/>
      <c r="D140" s="166"/>
      <c r="E140" s="169"/>
      <c r="F140" s="169"/>
      <c r="G140" s="169"/>
      <c r="H140" s="169"/>
      <c r="I140" s="169"/>
      <c r="J140" s="14" t="s">
        <v>491</v>
      </c>
      <c r="K140" s="19">
        <f>6487958.16/1000</f>
        <v>6487.9581600000001</v>
      </c>
    </row>
    <row r="141" spans="2:11" ht="50.25" customHeight="1" x14ac:dyDescent="0.25">
      <c r="B141" s="163"/>
      <c r="C141" s="183"/>
      <c r="D141" s="166"/>
      <c r="E141" s="169"/>
      <c r="F141" s="169"/>
      <c r="G141" s="169"/>
      <c r="H141" s="169"/>
      <c r="I141" s="169"/>
      <c r="J141" s="14" t="s">
        <v>492</v>
      </c>
      <c r="K141" s="19">
        <f>2661864.57/1000</f>
        <v>2661.8645699999997</v>
      </c>
    </row>
    <row r="142" spans="2:11" ht="50.25" customHeight="1" x14ac:dyDescent="0.25">
      <c r="B142" s="163"/>
      <c r="C142" s="183"/>
      <c r="D142" s="166"/>
      <c r="E142" s="169"/>
      <c r="F142" s="169"/>
      <c r="G142" s="156"/>
      <c r="H142" s="156"/>
      <c r="I142" s="169"/>
      <c r="J142" s="14" t="s">
        <v>492</v>
      </c>
      <c r="K142" s="19">
        <f>1590556.58/1000</f>
        <v>1590.5565800000002</v>
      </c>
    </row>
    <row r="143" spans="2:11" ht="53.25" customHeight="1" x14ac:dyDescent="0.25">
      <c r="B143" s="163"/>
      <c r="C143" s="179" t="s">
        <v>60</v>
      </c>
      <c r="D143" s="180"/>
      <c r="E143" s="11" t="s">
        <v>26</v>
      </c>
      <c r="F143" s="12">
        <f t="shared" ref="F143:F145" si="31">H143</f>
        <v>43.447369999999999</v>
      </c>
      <c r="G143" s="11" t="s">
        <v>26</v>
      </c>
      <c r="H143" s="12">
        <f>43447.37/1000</f>
        <v>43.447369999999999</v>
      </c>
      <c r="I143" s="20">
        <f t="shared" si="27"/>
        <v>182.14017000000001</v>
      </c>
      <c r="J143" s="11" t="s">
        <v>26</v>
      </c>
      <c r="K143" s="24">
        <f>(170082.45+12057.72)/1000</f>
        <v>182.14017000000001</v>
      </c>
    </row>
    <row r="144" spans="2:11" ht="53.25" customHeight="1" x14ac:dyDescent="0.25">
      <c r="B144" s="163"/>
      <c r="C144" s="188" t="s">
        <v>61</v>
      </c>
      <c r="D144" s="167"/>
      <c r="E144" s="13" t="s">
        <v>26</v>
      </c>
      <c r="F144" s="14">
        <f t="shared" si="31"/>
        <v>176.19784062435801</v>
      </c>
      <c r="G144" s="13" t="s">
        <v>26</v>
      </c>
      <c r="H144" s="14">
        <f>176197.840624358/1000</f>
        <v>176.19784062435801</v>
      </c>
      <c r="I144" s="62">
        <f t="shared" si="27"/>
        <v>193.59661</v>
      </c>
      <c r="J144" s="13" t="s">
        <v>26</v>
      </c>
      <c r="K144" s="25">
        <f>193596.61/1000</f>
        <v>193.59661</v>
      </c>
    </row>
    <row r="145" spans="2:11" ht="53.25" customHeight="1" x14ac:dyDescent="0.25">
      <c r="B145" s="163"/>
      <c r="C145" s="179" t="s">
        <v>62</v>
      </c>
      <c r="D145" s="180"/>
      <c r="E145" s="11" t="s">
        <v>26</v>
      </c>
      <c r="F145" s="12">
        <f t="shared" si="31"/>
        <v>0</v>
      </c>
      <c r="G145" s="11" t="s">
        <v>26</v>
      </c>
      <c r="H145" s="12">
        <v>0</v>
      </c>
      <c r="I145" s="20">
        <f t="shared" si="27"/>
        <v>-12.05772</v>
      </c>
      <c r="J145" s="11" t="s">
        <v>26</v>
      </c>
      <c r="K145" s="24">
        <f>-12057.72/1000</f>
        <v>-12.05772</v>
      </c>
    </row>
    <row r="146" spans="2:11" ht="54.75" customHeight="1" x14ac:dyDescent="0.25">
      <c r="B146" s="163"/>
      <c r="C146" s="179" t="s">
        <v>67</v>
      </c>
      <c r="D146" s="180"/>
      <c r="E146" s="11" t="s">
        <v>26</v>
      </c>
      <c r="F146" s="12">
        <f>H146</f>
        <v>26.68404</v>
      </c>
      <c r="G146" s="11" t="s">
        <v>26</v>
      </c>
      <c r="H146" s="12">
        <f>26684.04/1000</f>
        <v>26.68404</v>
      </c>
      <c r="I146" s="20">
        <f t="shared" si="27"/>
        <v>26.68404</v>
      </c>
      <c r="J146" s="11" t="s">
        <v>26</v>
      </c>
      <c r="K146" s="24">
        <f>H146</f>
        <v>26.68404</v>
      </c>
    </row>
    <row r="147" spans="2:11" ht="42" customHeight="1" thickBot="1" x14ac:dyDescent="0.3">
      <c r="B147" s="151"/>
      <c r="C147" s="184" t="s">
        <v>68</v>
      </c>
      <c r="D147" s="182"/>
      <c r="E147" s="38" t="s">
        <v>26</v>
      </c>
      <c r="F147" s="39">
        <f>H147</f>
        <v>1059.9590019182399</v>
      </c>
      <c r="G147" s="38" t="s">
        <v>26</v>
      </c>
      <c r="H147" s="54">
        <f>(1059959.00191824)/1000</f>
        <v>1059.9590019182399</v>
      </c>
      <c r="I147" s="40">
        <f>K147</f>
        <v>1059.9590019182399</v>
      </c>
      <c r="J147" s="38" t="s">
        <v>26</v>
      </c>
      <c r="K147" s="41">
        <f>H147</f>
        <v>1059.9590019182399</v>
      </c>
    </row>
    <row r="148" spans="2:11" ht="48" customHeight="1" x14ac:dyDescent="0.25">
      <c r="B148" s="150" t="s">
        <v>493</v>
      </c>
      <c r="C148" s="34" t="s">
        <v>27</v>
      </c>
      <c r="D148" s="90" t="s">
        <v>28</v>
      </c>
      <c r="E148" s="35" t="s">
        <v>29</v>
      </c>
      <c r="F148" s="12">
        <f t="shared" ref="F148:F149" si="32">H148</f>
        <v>36.995309999999996</v>
      </c>
      <c r="G148" s="11" t="s">
        <v>497</v>
      </c>
      <c r="H148" s="12">
        <f>36995.31/1000</f>
        <v>36.995309999999996</v>
      </c>
      <c r="I148" s="12" t="str">
        <f t="shared" ref="I148:I150" si="33">K148</f>
        <v>__</v>
      </c>
      <c r="J148" s="12" t="s">
        <v>26</v>
      </c>
      <c r="K148" s="17" t="s">
        <v>26</v>
      </c>
    </row>
    <row r="149" spans="2:11" ht="50.25" customHeight="1" x14ac:dyDescent="0.25">
      <c r="B149" s="163"/>
      <c r="C149" s="11" t="s">
        <v>43</v>
      </c>
      <c r="D149" s="11" t="s">
        <v>44</v>
      </c>
      <c r="E149" s="11" t="s">
        <v>26</v>
      </c>
      <c r="F149" s="12">
        <f t="shared" si="32"/>
        <v>204.05246</v>
      </c>
      <c r="G149" s="12" t="s">
        <v>45</v>
      </c>
      <c r="H149" s="12">
        <f>204052.46/1000</f>
        <v>204.05246</v>
      </c>
      <c r="I149" s="21">
        <f t="shared" si="33"/>
        <v>204.05246</v>
      </c>
      <c r="J149" s="14" t="s">
        <v>46</v>
      </c>
      <c r="K149" s="19">
        <f>204052.46/1000</f>
        <v>204.05246</v>
      </c>
    </row>
    <row r="150" spans="2:11" ht="33.75" customHeight="1" thickBot="1" x14ac:dyDescent="0.3">
      <c r="B150" s="151"/>
      <c r="C150" s="181" t="s">
        <v>67</v>
      </c>
      <c r="D150" s="182"/>
      <c r="E150" s="38" t="s">
        <v>26</v>
      </c>
      <c r="F150" s="39">
        <f>H150</f>
        <v>18.149810000000002</v>
      </c>
      <c r="G150" s="38" t="s">
        <v>26</v>
      </c>
      <c r="H150" s="39">
        <f>18149.81/1000</f>
        <v>18.149810000000002</v>
      </c>
      <c r="I150" s="40">
        <f t="shared" si="33"/>
        <v>18.149810000000002</v>
      </c>
      <c r="J150" s="38" t="s">
        <v>26</v>
      </c>
      <c r="K150" s="41">
        <f>H150</f>
        <v>18.149810000000002</v>
      </c>
    </row>
    <row r="151" spans="2:11" ht="33.75" customHeight="1" x14ac:dyDescent="0.25">
      <c r="B151" s="150" t="s">
        <v>498</v>
      </c>
      <c r="C151" s="160" t="s">
        <v>72</v>
      </c>
      <c r="D151" s="160" t="s">
        <v>499</v>
      </c>
      <c r="E151" s="173">
        <f>4150000/1000</f>
        <v>4150</v>
      </c>
      <c r="F151" s="176">
        <f>H151+H153</f>
        <v>4150</v>
      </c>
      <c r="G151" s="160" t="s">
        <v>500</v>
      </c>
      <c r="H151" s="155">
        <f>2905000/1000</f>
        <v>2905</v>
      </c>
      <c r="I151" s="157">
        <f>K151</f>
        <v>4150</v>
      </c>
      <c r="J151" s="160" t="s">
        <v>501</v>
      </c>
      <c r="K151" s="185">
        <f>4150000/1000</f>
        <v>4150</v>
      </c>
    </row>
    <row r="152" spans="2:11" ht="33.75" customHeight="1" x14ac:dyDescent="0.25">
      <c r="B152" s="163"/>
      <c r="C152" s="161"/>
      <c r="D152" s="161"/>
      <c r="E152" s="174"/>
      <c r="F152" s="177"/>
      <c r="G152" s="165"/>
      <c r="H152" s="156"/>
      <c r="I152" s="158"/>
      <c r="J152" s="161"/>
      <c r="K152" s="186"/>
    </row>
    <row r="153" spans="2:11" ht="33.75" customHeight="1" thickBot="1" x14ac:dyDescent="0.3">
      <c r="B153" s="151"/>
      <c r="C153" s="162"/>
      <c r="D153" s="162"/>
      <c r="E153" s="175"/>
      <c r="F153" s="178"/>
      <c r="G153" s="38" t="s">
        <v>502</v>
      </c>
      <c r="H153" s="40">
        <f>1245000/1000</f>
        <v>1245</v>
      </c>
      <c r="I153" s="159"/>
      <c r="J153" s="162"/>
      <c r="K153" s="187"/>
    </row>
    <row r="154" spans="2:11" ht="45" customHeight="1" x14ac:dyDescent="0.25">
      <c r="B154" s="150" t="s">
        <v>507</v>
      </c>
      <c r="C154" s="160" t="s">
        <v>510</v>
      </c>
      <c r="D154" s="230" t="s">
        <v>511</v>
      </c>
      <c r="E154" s="155">
        <f>818000.8/1000</f>
        <v>818.00080000000003</v>
      </c>
      <c r="F154" s="155">
        <f>H154+H155+H156</f>
        <v>787.70029999999997</v>
      </c>
      <c r="G154" s="35" t="s">
        <v>512</v>
      </c>
      <c r="H154" s="35">
        <f>100000/1000</f>
        <v>100</v>
      </c>
      <c r="I154" s="155" t="str">
        <f t="shared" ref="I154" si="34">K154</f>
        <v>__</v>
      </c>
      <c r="J154" s="155" t="s">
        <v>26</v>
      </c>
      <c r="K154" s="238" t="s">
        <v>26</v>
      </c>
    </row>
    <row r="155" spans="2:11" ht="45" customHeight="1" x14ac:dyDescent="0.25">
      <c r="B155" s="163"/>
      <c r="C155" s="161"/>
      <c r="D155" s="166"/>
      <c r="E155" s="169"/>
      <c r="F155" s="169"/>
      <c r="G155" s="12" t="s">
        <v>513</v>
      </c>
      <c r="H155" s="12">
        <f>300000/1000</f>
        <v>300</v>
      </c>
      <c r="I155" s="169"/>
      <c r="J155" s="169" t="s">
        <v>26</v>
      </c>
      <c r="K155" s="198" t="s">
        <v>26</v>
      </c>
    </row>
    <row r="156" spans="2:11" ht="45" customHeight="1" thickBot="1" x14ac:dyDescent="0.3">
      <c r="B156" s="151"/>
      <c r="C156" s="162"/>
      <c r="D156" s="182"/>
      <c r="E156" s="231"/>
      <c r="F156" s="231"/>
      <c r="G156" s="39" t="s">
        <v>515</v>
      </c>
      <c r="H156" s="30">
        <f>387700.3/1000</f>
        <v>387.70029999999997</v>
      </c>
      <c r="I156" s="231"/>
      <c r="J156" s="231" t="s">
        <v>26</v>
      </c>
      <c r="K156" s="260" t="s">
        <v>26</v>
      </c>
    </row>
    <row r="157" spans="2:11" ht="16.5" thickBot="1" x14ac:dyDescent="0.3">
      <c r="B157" s="154" t="s">
        <v>521</v>
      </c>
      <c r="C157" s="154"/>
      <c r="D157" s="154"/>
      <c r="E157" s="154"/>
      <c r="F157" s="99">
        <f>SUM(F75:F156)</f>
        <v>58637.857234654606</v>
      </c>
      <c r="G157" s="100"/>
      <c r="H157" s="99">
        <f>SUM(H75:H156)</f>
        <v>58637.857234654606</v>
      </c>
      <c r="I157" s="99">
        <f>SUM(I75:I156)</f>
        <v>48500.272381322153</v>
      </c>
      <c r="J157" s="100"/>
      <c r="K157" s="99">
        <f>SUM(K75:K156)</f>
        <v>48500.272381322146</v>
      </c>
    </row>
    <row r="158" spans="2:11" ht="35.25" customHeight="1" thickBot="1" x14ac:dyDescent="0.3">
      <c r="B158" s="154" t="s">
        <v>522</v>
      </c>
      <c r="C158" s="154"/>
      <c r="D158" s="154"/>
      <c r="E158" s="154"/>
      <c r="F158" s="99">
        <f>F73+F157</f>
        <v>98790.82505591886</v>
      </c>
      <c r="G158" s="100"/>
      <c r="H158" s="99">
        <f>H73+H157</f>
        <v>98790.82505591886</v>
      </c>
      <c r="I158" s="99">
        <f>I73+I157</f>
        <v>107815.34334962565</v>
      </c>
      <c r="J158" s="100"/>
      <c r="K158" s="99">
        <f>K73+K157</f>
        <v>107815.34334962563</v>
      </c>
    </row>
    <row r="159" spans="2:11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2:11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2:11" ht="15.75" x14ac:dyDescent="0.25">
      <c r="B161" s="111" t="s">
        <v>525</v>
      </c>
      <c r="C161" s="112"/>
      <c r="D161" s="112"/>
      <c r="E161" s="2"/>
      <c r="F161" s="2"/>
      <c r="G161" s="2"/>
      <c r="H161" s="2"/>
      <c r="I161" s="2"/>
      <c r="J161" s="2"/>
      <c r="K161" s="2"/>
    </row>
    <row r="162" spans="2:11" ht="15.75" x14ac:dyDescent="0.25">
      <c r="B162" s="259" t="s">
        <v>526</v>
      </c>
      <c r="C162" s="259"/>
      <c r="D162" s="259"/>
      <c r="E162" s="2"/>
      <c r="F162" s="2"/>
      <c r="G162" s="2"/>
      <c r="H162" s="2"/>
      <c r="I162" s="2"/>
      <c r="J162" s="2"/>
      <c r="K162" s="2"/>
    </row>
    <row r="163" spans="2:11" ht="15.75" x14ac:dyDescent="0.25">
      <c r="B163" s="111"/>
      <c r="C163" s="111"/>
      <c r="D163" s="112"/>
      <c r="E163" s="2"/>
      <c r="F163" s="2"/>
      <c r="G163" s="2"/>
      <c r="H163" s="2"/>
      <c r="I163" s="2"/>
      <c r="J163" s="2"/>
      <c r="K163" s="2"/>
    </row>
    <row r="164" spans="2:11" ht="15.75" x14ac:dyDescent="0.25">
      <c r="B164" s="113" t="s">
        <v>527</v>
      </c>
      <c r="C164" s="114" t="s">
        <v>528</v>
      </c>
      <c r="D164" s="114" t="s">
        <v>529</v>
      </c>
      <c r="E164" s="2"/>
      <c r="F164" s="2"/>
      <c r="G164" s="2"/>
      <c r="H164" s="2"/>
      <c r="I164" s="2"/>
      <c r="J164" s="2"/>
      <c r="K164" s="2"/>
    </row>
    <row r="165" spans="2:11" ht="45" x14ac:dyDescent="0.25">
      <c r="B165" s="115" t="s">
        <v>530</v>
      </c>
      <c r="C165" s="116">
        <v>107815</v>
      </c>
      <c r="D165" s="116">
        <v>98791</v>
      </c>
      <c r="E165" s="2"/>
      <c r="F165" s="2"/>
      <c r="G165" s="2"/>
      <c r="H165" s="2"/>
      <c r="I165" s="2"/>
      <c r="J165" s="2"/>
      <c r="K165" s="2"/>
    </row>
    <row r="166" spans="2:11" x14ac:dyDescent="0.25">
      <c r="B166" s="115" t="s">
        <v>531</v>
      </c>
      <c r="C166" s="116">
        <v>519626</v>
      </c>
      <c r="D166" s="116">
        <v>519626</v>
      </c>
      <c r="E166" s="2"/>
      <c r="F166" s="2"/>
      <c r="G166" s="2"/>
      <c r="H166" s="2"/>
      <c r="I166" s="2"/>
      <c r="J166" s="2"/>
      <c r="K166" s="2"/>
    </row>
    <row r="167" spans="2:11" x14ac:dyDescent="0.25">
      <c r="B167" s="115" t="s">
        <v>532</v>
      </c>
      <c r="C167" s="116">
        <v>362521</v>
      </c>
      <c r="D167" s="116">
        <v>362521</v>
      </c>
      <c r="E167" s="2"/>
      <c r="F167" s="2"/>
      <c r="G167" s="2"/>
      <c r="H167" s="2"/>
      <c r="I167" s="2"/>
      <c r="J167" s="2"/>
      <c r="K167" s="2"/>
    </row>
    <row r="168" spans="2:11" ht="45" x14ac:dyDescent="0.25">
      <c r="B168" s="115" t="s">
        <v>533</v>
      </c>
      <c r="C168" s="117">
        <v>0</v>
      </c>
      <c r="D168" s="117">
        <v>0</v>
      </c>
      <c r="E168" s="2"/>
      <c r="F168" s="2"/>
      <c r="G168" s="2"/>
      <c r="H168" s="2"/>
      <c r="I168" s="2"/>
      <c r="J168" s="2"/>
      <c r="K168" s="2"/>
    </row>
    <row r="169" spans="2:11" x14ac:dyDescent="0.25">
      <c r="B169" s="115" t="s">
        <v>534</v>
      </c>
      <c r="C169" s="116">
        <v>22893</v>
      </c>
      <c r="D169" s="116">
        <v>24234</v>
      </c>
      <c r="E169" s="2"/>
      <c r="F169" s="2"/>
      <c r="G169" s="2"/>
      <c r="H169" s="2"/>
      <c r="I169" s="2"/>
      <c r="J169" s="2"/>
      <c r="K169" s="2"/>
    </row>
    <row r="170" spans="2:11" x14ac:dyDescent="0.25">
      <c r="B170" s="115" t="s">
        <v>535</v>
      </c>
      <c r="C170" s="116">
        <v>2796</v>
      </c>
      <c r="D170" s="116">
        <v>2796</v>
      </c>
      <c r="E170" s="2"/>
      <c r="F170" s="2"/>
      <c r="G170" s="2"/>
      <c r="H170" s="2"/>
      <c r="I170" s="2"/>
      <c r="J170" s="2"/>
      <c r="K170" s="2"/>
    </row>
    <row r="171" spans="2:11" x14ac:dyDescent="0.25">
      <c r="B171" s="115" t="s">
        <v>536</v>
      </c>
      <c r="C171" s="117" t="s">
        <v>543</v>
      </c>
      <c r="D171" s="116">
        <v>19711</v>
      </c>
      <c r="E171" s="2"/>
      <c r="F171" s="2"/>
      <c r="G171" s="2"/>
      <c r="H171" s="2"/>
      <c r="I171" s="2"/>
      <c r="J171" s="2"/>
      <c r="K171" s="2"/>
    </row>
    <row r="172" spans="2:11" ht="60" x14ac:dyDescent="0.25">
      <c r="B172" s="115" t="s">
        <v>538</v>
      </c>
      <c r="C172" s="116">
        <v>65784</v>
      </c>
      <c r="D172" s="116">
        <v>72823</v>
      </c>
      <c r="E172" s="2"/>
      <c r="F172" s="2"/>
      <c r="G172" s="2"/>
      <c r="H172" s="2"/>
      <c r="I172" s="2"/>
      <c r="J172" s="2"/>
      <c r="K172" s="2"/>
    </row>
    <row r="173" spans="2:11" x14ac:dyDescent="0.25">
      <c r="B173" s="115" t="s">
        <v>539</v>
      </c>
      <c r="C173" s="116">
        <v>5190</v>
      </c>
      <c r="D173" s="116">
        <v>5055</v>
      </c>
      <c r="E173" s="2"/>
      <c r="F173" s="2"/>
      <c r="G173" s="2"/>
      <c r="H173" s="2"/>
      <c r="I173" s="2"/>
      <c r="J173" s="2"/>
      <c r="K173" s="2"/>
    </row>
    <row r="174" spans="2:11" x14ac:dyDescent="0.25">
      <c r="B174" s="115" t="s">
        <v>540</v>
      </c>
      <c r="C174" s="116">
        <v>5173</v>
      </c>
      <c r="D174" s="117">
        <v>-837</v>
      </c>
      <c r="E174" s="2"/>
      <c r="F174" s="2"/>
      <c r="G174" s="2"/>
      <c r="H174" s="2"/>
      <c r="I174" s="2"/>
      <c r="J174" s="2"/>
      <c r="K174" s="2"/>
    </row>
    <row r="175" spans="2:11" ht="30" x14ac:dyDescent="0.25">
      <c r="B175" s="115" t="s">
        <v>541</v>
      </c>
      <c r="C175" s="116">
        <v>15208</v>
      </c>
      <c r="D175" s="116">
        <v>8334</v>
      </c>
      <c r="E175" s="2"/>
      <c r="F175" s="2"/>
      <c r="G175" s="2"/>
      <c r="H175" s="2"/>
      <c r="I175" s="2"/>
      <c r="J175" s="2"/>
      <c r="K175" s="2"/>
    </row>
    <row r="176" spans="2:11" x14ac:dyDescent="0.25">
      <c r="B176" s="115" t="s">
        <v>542</v>
      </c>
      <c r="C176" s="116">
        <v>10035</v>
      </c>
      <c r="D176" s="116">
        <v>9172</v>
      </c>
      <c r="E176" s="2"/>
      <c r="F176" s="2"/>
      <c r="G176" s="2"/>
      <c r="H176" s="2"/>
      <c r="I176" s="2"/>
      <c r="J176" s="2"/>
      <c r="K176" s="2"/>
    </row>
    <row r="177" spans="2:11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2:11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2:11" ht="18.75" x14ac:dyDescent="0.3">
      <c r="B179" s="268" t="s">
        <v>547</v>
      </c>
      <c r="C179" s="268"/>
      <c r="D179" s="268"/>
      <c r="E179" s="268"/>
      <c r="F179" s="2"/>
      <c r="G179" s="2"/>
      <c r="H179" s="2"/>
      <c r="I179" s="2"/>
      <c r="J179" s="2"/>
      <c r="K179" s="2"/>
    </row>
    <row r="180" spans="2:11" ht="18.75" x14ac:dyDescent="0.3">
      <c r="B180" s="269"/>
      <c r="C180" s="269"/>
      <c r="D180" s="269"/>
      <c r="E180" s="269"/>
      <c r="F180" s="2"/>
      <c r="G180" s="2"/>
      <c r="H180" s="2"/>
      <c r="I180" s="2"/>
      <c r="J180" s="2"/>
      <c r="K180" s="2"/>
    </row>
    <row r="181" spans="2:11" ht="18.75" x14ac:dyDescent="0.3">
      <c r="B181" s="268" t="s">
        <v>546</v>
      </c>
      <c r="C181" s="268"/>
      <c r="D181" s="268"/>
      <c r="E181" s="269" t="s">
        <v>545</v>
      </c>
      <c r="F181" s="2"/>
      <c r="G181" s="2"/>
      <c r="H181" s="2"/>
      <c r="I181" s="2"/>
      <c r="J181" s="2"/>
      <c r="K181" s="2"/>
    </row>
    <row r="182" spans="2:11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2:11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2:11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2:11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2:11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2:11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2:11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2:11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2:11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2:11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2:11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2:11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2:11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2:11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2:11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2:11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2:11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2:11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2:11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2:11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2:11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2:11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2:11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2:11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2:11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2:11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2:11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2:11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2:11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2:11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2:11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2:11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2:11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2:11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2:11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2:11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2:11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2:11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2:11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2:11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2:11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2:11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2:11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2:11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2:11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2:11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2:11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2:11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2:11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2:11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2:11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2:11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2:11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2:11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2:11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2:11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2:11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2:11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2:11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2:11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2:11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2:11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2:11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2:11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2:11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2:11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2:11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2:11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2:11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2:11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2:11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2:11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</row>
  </sheetData>
  <mergeCells count="169">
    <mergeCell ref="B179:E179"/>
    <mergeCell ref="B181:D181"/>
    <mergeCell ref="B2:K2"/>
    <mergeCell ref="B3:K3"/>
    <mergeCell ref="B4:K4"/>
    <mergeCell ref="B6:B7"/>
    <mergeCell ref="C6:D6"/>
    <mergeCell ref="E6:E7"/>
    <mergeCell ref="F6:F7"/>
    <mergeCell ref="G6:H6"/>
    <mergeCell ref="I6:I7"/>
    <mergeCell ref="J6:K6"/>
    <mergeCell ref="I11:I12"/>
    <mergeCell ref="C15:D15"/>
    <mergeCell ref="C16:D16"/>
    <mergeCell ref="C17:D17"/>
    <mergeCell ref="C18:D18"/>
    <mergeCell ref="C19:D19"/>
    <mergeCell ref="B8:K8"/>
    <mergeCell ref="B9:B20"/>
    <mergeCell ref="C9:C10"/>
    <mergeCell ref="D9:D10"/>
    <mergeCell ref="E9:E10"/>
    <mergeCell ref="I9:I10"/>
    <mergeCell ref="C11:C12"/>
    <mergeCell ref="D11:D12"/>
    <mergeCell ref="E11:E12"/>
    <mergeCell ref="F11:F12"/>
    <mergeCell ref="C20:D20"/>
    <mergeCell ref="B21:K21"/>
    <mergeCell ref="C22:D22"/>
    <mergeCell ref="B23:K23"/>
    <mergeCell ref="B25:B31"/>
    <mergeCell ref="C25:C26"/>
    <mergeCell ref="D25:D26"/>
    <mergeCell ref="E25:E26"/>
    <mergeCell ref="F25:F26"/>
    <mergeCell ref="I25:I26"/>
    <mergeCell ref="C30:D30"/>
    <mergeCell ref="C31:D31"/>
    <mergeCell ref="B32:B33"/>
    <mergeCell ref="C33:D33"/>
    <mergeCell ref="B34:K34"/>
    <mergeCell ref="B36:B37"/>
    <mergeCell ref="C36:C37"/>
    <mergeCell ref="D36:D37"/>
    <mergeCell ref="E36:E37"/>
    <mergeCell ref="F36:F37"/>
    <mergeCell ref="B45:B51"/>
    <mergeCell ref="C47:D47"/>
    <mergeCell ref="C48:D48"/>
    <mergeCell ref="C49:D49"/>
    <mergeCell ref="C50:D50"/>
    <mergeCell ref="C51:D51"/>
    <mergeCell ref="B39:B44"/>
    <mergeCell ref="C40:D40"/>
    <mergeCell ref="C41:D41"/>
    <mergeCell ref="C42:D42"/>
    <mergeCell ref="C43:D43"/>
    <mergeCell ref="C44:D44"/>
    <mergeCell ref="B60:K60"/>
    <mergeCell ref="B61:B65"/>
    <mergeCell ref="C62:D62"/>
    <mergeCell ref="C65:D65"/>
    <mergeCell ref="B66:K66"/>
    <mergeCell ref="B67:B68"/>
    <mergeCell ref="C68:D68"/>
    <mergeCell ref="B52:B57"/>
    <mergeCell ref="C53:D53"/>
    <mergeCell ref="C54:D54"/>
    <mergeCell ref="C55:D55"/>
    <mergeCell ref="C56:D56"/>
    <mergeCell ref="C57:D57"/>
    <mergeCell ref="B69:B72"/>
    <mergeCell ref="C71:D71"/>
    <mergeCell ref="C72:D72"/>
    <mergeCell ref="B73:E73"/>
    <mergeCell ref="B74:K74"/>
    <mergeCell ref="B75:B95"/>
    <mergeCell ref="C75:C77"/>
    <mergeCell ref="D75:D77"/>
    <mergeCell ref="E75:E77"/>
    <mergeCell ref="F75:F77"/>
    <mergeCell ref="F81:F82"/>
    <mergeCell ref="I81:I82"/>
    <mergeCell ref="C86:D86"/>
    <mergeCell ref="I75:I77"/>
    <mergeCell ref="C78:C79"/>
    <mergeCell ref="D78:D79"/>
    <mergeCell ref="E78:E79"/>
    <mergeCell ref="F78:F79"/>
    <mergeCell ref="I78:I79"/>
    <mergeCell ref="C87:D87"/>
    <mergeCell ref="C88:D88"/>
    <mergeCell ref="C89:D89"/>
    <mergeCell ref="C90:D90"/>
    <mergeCell ref="C91:D91"/>
    <mergeCell ref="C92:D92"/>
    <mergeCell ref="C81:C82"/>
    <mergeCell ref="D81:D82"/>
    <mergeCell ref="E81:E82"/>
    <mergeCell ref="C93:D93"/>
    <mergeCell ref="C94:D94"/>
    <mergeCell ref="C95:D95"/>
    <mergeCell ref="B96:B101"/>
    <mergeCell ref="C97:D97"/>
    <mergeCell ref="C98:D98"/>
    <mergeCell ref="C99:D99"/>
    <mergeCell ref="C100:D100"/>
    <mergeCell ref="C101:D101"/>
    <mergeCell ref="B102:B108"/>
    <mergeCell ref="B109:B134"/>
    <mergeCell ref="C109:C116"/>
    <mergeCell ref="D109:D116"/>
    <mergeCell ref="E109:E116"/>
    <mergeCell ref="F109:F116"/>
    <mergeCell ref="C127:D127"/>
    <mergeCell ref="C128:D128"/>
    <mergeCell ref="C129:D129"/>
    <mergeCell ref="C130:D130"/>
    <mergeCell ref="B135:B136"/>
    <mergeCell ref="C136:D136"/>
    <mergeCell ref="G109:G116"/>
    <mergeCell ref="H109:H116"/>
    <mergeCell ref="I109:I116"/>
    <mergeCell ref="C121:C122"/>
    <mergeCell ref="D121:D122"/>
    <mergeCell ref="E121:E122"/>
    <mergeCell ref="F121:F122"/>
    <mergeCell ref="E138:E142"/>
    <mergeCell ref="F138:F142"/>
    <mergeCell ref="I138:I142"/>
    <mergeCell ref="G139:G142"/>
    <mergeCell ref="H139:H142"/>
    <mergeCell ref="C143:D143"/>
    <mergeCell ref="C144:D144"/>
    <mergeCell ref="C131:D131"/>
    <mergeCell ref="C132:D132"/>
    <mergeCell ref="C133:D133"/>
    <mergeCell ref="C134:D134"/>
    <mergeCell ref="C145:D145"/>
    <mergeCell ref="C146:D146"/>
    <mergeCell ref="C147:D147"/>
    <mergeCell ref="B148:B150"/>
    <mergeCell ref="C150:D150"/>
    <mergeCell ref="B151:B153"/>
    <mergeCell ref="C151:C153"/>
    <mergeCell ref="D151:D153"/>
    <mergeCell ref="B137:B147"/>
    <mergeCell ref="C138:C142"/>
    <mergeCell ref="D138:D142"/>
    <mergeCell ref="B162:D162"/>
    <mergeCell ref="B157:E157"/>
    <mergeCell ref="B158:E158"/>
    <mergeCell ref="K151:K153"/>
    <mergeCell ref="B154:B156"/>
    <mergeCell ref="C154:C156"/>
    <mergeCell ref="D154:D156"/>
    <mergeCell ref="E154:E156"/>
    <mergeCell ref="F154:F156"/>
    <mergeCell ref="I154:I156"/>
    <mergeCell ref="J154:J156"/>
    <mergeCell ref="K154:K156"/>
    <mergeCell ref="E151:E153"/>
    <mergeCell ref="F151:F153"/>
    <mergeCell ref="G151:G152"/>
    <mergeCell ref="H151:H152"/>
    <mergeCell ref="I151:I153"/>
    <mergeCell ref="J151:J153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1+2+3+4кв 2015,УК для админ </vt:lpstr>
      <vt:lpstr>3кв 2015для админ </vt:lpstr>
      <vt:lpstr>4 кв 2015 для админ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2016-02-15T07:51:43Z</dcterms:modified>
</cp:coreProperties>
</file>