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янв-дек 16 с РЗЗ бел " sheetId="4" r:id="rId1"/>
    <sheet name="Лист1" sheetId="1" r:id="rId2"/>
    <sheet name="Лист2" sheetId="2" r:id="rId3"/>
    <sheet name="Лист3" sheetId="3" r:id="rId4"/>
  </sheets>
  <definedNames>
    <definedName name="_xlnm.Print_Titles" localSheetId="0">'янв-дек 16 с РЗЗ бел '!$B:$K,'янв-дек 16 с РЗЗ бел '!$6:$7</definedName>
    <definedName name="_xlnm.Print_Area" localSheetId="0">'янв-дек 16 с РЗЗ бел '!$B$2:$K$500</definedName>
  </definedNames>
  <calcPr calcId="145621"/>
</workbook>
</file>

<file path=xl/calcChain.xml><?xml version="1.0" encoding="utf-8"?>
<calcChain xmlns="http://schemas.openxmlformats.org/spreadsheetml/2006/main">
  <c r="I498" i="4" l="1"/>
  <c r="H498" i="4"/>
  <c r="I495" i="4"/>
  <c r="F495" i="4"/>
  <c r="K494" i="4"/>
  <c r="I494" i="4" s="1"/>
  <c r="H494" i="4"/>
  <c r="F494" i="4" s="1"/>
  <c r="E494" i="4"/>
  <c r="I493" i="4"/>
  <c r="F493" i="4"/>
  <c r="K492" i="4"/>
  <c r="I492" i="4"/>
  <c r="H492" i="4"/>
  <c r="F492" i="4" s="1"/>
  <c r="E492" i="4"/>
  <c r="F491" i="4"/>
  <c r="K490" i="4"/>
  <c r="I490" i="4" s="1"/>
  <c r="K489" i="4"/>
  <c r="H489" i="4" s="1"/>
  <c r="F489" i="4" s="1"/>
  <c r="K488" i="4"/>
  <c r="I488" i="4" s="1"/>
  <c r="K487" i="4"/>
  <c r="H487" i="4" s="1"/>
  <c r="F487" i="4" s="1"/>
  <c r="I487" i="4"/>
  <c r="I486" i="4"/>
  <c r="H486" i="4"/>
  <c r="F486" i="4" s="1"/>
  <c r="I485" i="4"/>
  <c r="F485" i="4"/>
  <c r="E485" i="4"/>
  <c r="I483" i="4"/>
  <c r="F483" i="4"/>
  <c r="I482" i="4"/>
  <c r="H482" i="4"/>
  <c r="F482" i="4" s="1"/>
  <c r="K481" i="4"/>
  <c r="I481" i="4"/>
  <c r="H481" i="4"/>
  <c r="F481" i="4" s="1"/>
  <c r="I480" i="4"/>
  <c r="F480" i="4"/>
  <c r="I479" i="4"/>
  <c r="F479" i="4"/>
  <c r="H478" i="4"/>
  <c r="I477" i="4"/>
  <c r="H477" i="4"/>
  <c r="F477" i="4" s="1"/>
  <c r="I471" i="4"/>
  <c r="F471" i="4"/>
  <c r="E471" i="4"/>
  <c r="K470" i="4"/>
  <c r="I470" i="4" s="1"/>
  <c r="H470" i="4"/>
  <c r="F470" i="4" s="1"/>
  <c r="K467" i="4"/>
  <c r="K466" i="4"/>
  <c r="F466" i="4"/>
  <c r="K465" i="4"/>
  <c r="I465" i="4" s="1"/>
  <c r="F465" i="4"/>
  <c r="K461" i="4"/>
  <c r="K460" i="4"/>
  <c r="K459" i="4"/>
  <c r="F459" i="4"/>
  <c r="I458" i="4"/>
  <c r="F458" i="4"/>
  <c r="I457" i="4"/>
  <c r="F457" i="4"/>
  <c r="I456" i="4"/>
  <c r="F456" i="4"/>
  <c r="I455" i="4"/>
  <c r="F455" i="4"/>
  <c r="I454" i="4"/>
  <c r="H454" i="4"/>
  <c r="F454" i="4"/>
  <c r="I453" i="4"/>
  <c r="H453" i="4"/>
  <c r="F453" i="4" s="1"/>
  <c r="H449" i="4"/>
  <c r="H448" i="4"/>
  <c r="H447" i="4"/>
  <c r="H446" i="4"/>
  <c r="I445" i="4"/>
  <c r="H445" i="4"/>
  <c r="E445" i="4"/>
  <c r="I444" i="4"/>
  <c r="H444" i="4"/>
  <c r="I443" i="4"/>
  <c r="H443" i="4"/>
  <c r="I442" i="4"/>
  <c r="H442" i="4"/>
  <c r="I441" i="4"/>
  <c r="F441" i="4"/>
  <c r="H440" i="4"/>
  <c r="K439" i="4"/>
  <c r="I439" i="4"/>
  <c r="H439" i="4"/>
  <c r="K438" i="4"/>
  <c r="I438" i="4" s="1"/>
  <c r="H438" i="4"/>
  <c r="K437" i="4"/>
  <c r="I437" i="4" s="1"/>
  <c r="H437" i="4"/>
  <c r="F437" i="4" s="1"/>
  <c r="I436" i="4"/>
  <c r="F436" i="4"/>
  <c r="K435" i="4"/>
  <c r="I435" i="4" s="1"/>
  <c r="H435" i="4"/>
  <c r="F435" i="4" s="1"/>
  <c r="K434" i="4"/>
  <c r="I434" i="4" s="1"/>
  <c r="H434" i="4"/>
  <c r="F434" i="4" s="1"/>
  <c r="K433" i="4"/>
  <c r="I433" i="4" s="1"/>
  <c r="H433" i="4"/>
  <c r="F433" i="4" s="1"/>
  <c r="K432" i="4"/>
  <c r="I432" i="4" s="1"/>
  <c r="H432" i="4"/>
  <c r="F432" i="4" s="1"/>
  <c r="K431" i="4"/>
  <c r="I431" i="4"/>
  <c r="H431" i="4"/>
  <c r="F431" i="4" s="1"/>
  <c r="K430" i="4"/>
  <c r="I430" i="4" s="1"/>
  <c r="H430" i="4"/>
  <c r="F430" i="4" s="1"/>
  <c r="K429" i="4"/>
  <c r="I429" i="4" s="1"/>
  <c r="H429" i="4"/>
  <c r="F429" i="4" s="1"/>
  <c r="K428" i="4"/>
  <c r="I428" i="4"/>
  <c r="H428" i="4"/>
  <c r="F428" i="4" s="1"/>
  <c r="K427" i="4"/>
  <c r="I427" i="4" s="1"/>
  <c r="H427" i="4"/>
  <c r="F427" i="4" s="1"/>
  <c r="I426" i="4"/>
  <c r="H426" i="4"/>
  <c r="F426" i="4" s="1"/>
  <c r="I425" i="4"/>
  <c r="H425" i="4"/>
  <c r="F425" i="4" s="1"/>
  <c r="I424" i="4"/>
  <c r="H424" i="4"/>
  <c r="F424" i="4" s="1"/>
  <c r="I423" i="4"/>
  <c r="H423" i="4"/>
  <c r="F423" i="4" s="1"/>
  <c r="E423" i="4"/>
  <c r="I422" i="4"/>
  <c r="H422" i="4"/>
  <c r="F422" i="4" s="1"/>
  <c r="I421" i="4"/>
  <c r="F421" i="4"/>
  <c r="I420" i="4"/>
  <c r="F420" i="4"/>
  <c r="K419" i="4"/>
  <c r="I419" i="4" s="1"/>
  <c r="F419" i="4"/>
  <c r="K418" i="4"/>
  <c r="I418" i="4" s="1"/>
  <c r="F418" i="4"/>
  <c r="K410" i="4"/>
  <c r="I410" i="4" s="1"/>
  <c r="H410" i="4"/>
  <c r="F410" i="4" s="1"/>
  <c r="E410" i="4"/>
  <c r="K409" i="4"/>
  <c r="I409" i="4" s="1"/>
  <c r="H409" i="4"/>
  <c r="F409" i="4" s="1"/>
  <c r="K408" i="4"/>
  <c r="I408" i="4" s="1"/>
  <c r="H408" i="4"/>
  <c r="F408" i="4" s="1"/>
  <c r="I407" i="4"/>
  <c r="F407" i="4"/>
  <c r="I406" i="4"/>
  <c r="H406" i="4"/>
  <c r="F406" i="4" s="1"/>
  <c r="I405" i="4"/>
  <c r="F405" i="4"/>
  <c r="I404" i="4"/>
  <c r="F404" i="4"/>
  <c r="E404" i="4"/>
  <c r="K401" i="4"/>
  <c r="I401" i="4" s="1"/>
  <c r="H401" i="4"/>
  <c r="F401" i="4" s="1"/>
  <c r="E401" i="4"/>
  <c r="K400" i="4"/>
  <c r="I400" i="4" s="1"/>
  <c r="H400" i="4"/>
  <c r="F400" i="4" s="1"/>
  <c r="I399" i="4"/>
  <c r="H399" i="4"/>
  <c r="F399" i="4" s="1"/>
  <c r="K398" i="4"/>
  <c r="I398" i="4" s="1"/>
  <c r="H398" i="4"/>
  <c r="F398" i="4" s="1"/>
  <c r="K397" i="4"/>
  <c r="I397" i="4" s="1"/>
  <c r="H397" i="4"/>
  <c r="F397" i="4" s="1"/>
  <c r="K396" i="4"/>
  <c r="I396" i="4" s="1"/>
  <c r="H396" i="4"/>
  <c r="F396" i="4" s="1"/>
  <c r="K395" i="4"/>
  <c r="I395" i="4" s="1"/>
  <c r="H395" i="4"/>
  <c r="F395" i="4" s="1"/>
  <c r="K394" i="4"/>
  <c r="I394" i="4" s="1"/>
  <c r="H394" i="4"/>
  <c r="F394" i="4" s="1"/>
  <c r="K393" i="4"/>
  <c r="I393" i="4" s="1"/>
  <c r="H393" i="4"/>
  <c r="F393" i="4" s="1"/>
  <c r="K392" i="4"/>
  <c r="I392" i="4" s="1"/>
  <c r="H392" i="4"/>
  <c r="F392" i="4" s="1"/>
  <c r="K391" i="4"/>
  <c r="I391" i="4" s="1"/>
  <c r="H391" i="4"/>
  <c r="F391" i="4" s="1"/>
  <c r="K390" i="4"/>
  <c r="I390" i="4" s="1"/>
  <c r="H390" i="4"/>
  <c r="F390" i="4" s="1"/>
  <c r="K389" i="4"/>
  <c r="I389" i="4"/>
  <c r="H389" i="4"/>
  <c r="F389" i="4" s="1"/>
  <c r="K388" i="4"/>
  <c r="I388" i="4" s="1"/>
  <c r="H388" i="4"/>
  <c r="F388" i="4" s="1"/>
  <c r="K387" i="4"/>
  <c r="I387" i="4" s="1"/>
  <c r="H387" i="4"/>
  <c r="F387" i="4" s="1"/>
  <c r="I386" i="4"/>
  <c r="F386" i="4"/>
  <c r="I383" i="4"/>
  <c r="F383" i="4"/>
  <c r="I382" i="4"/>
  <c r="H382" i="4"/>
  <c r="F382" i="4" s="1"/>
  <c r="K381" i="4"/>
  <c r="I381" i="4" s="1"/>
  <c r="F381" i="4"/>
  <c r="I379" i="4"/>
  <c r="H379" i="4"/>
  <c r="F379" i="4" s="1"/>
  <c r="I372" i="4"/>
  <c r="F372" i="4"/>
  <c r="K371" i="4"/>
  <c r="I371" i="4" s="1"/>
  <c r="H371" i="4"/>
  <c r="F371" i="4" s="1"/>
  <c r="K370" i="4"/>
  <c r="I370" i="4" s="1"/>
  <c r="F370" i="4"/>
  <c r="I369" i="4"/>
  <c r="H369" i="4"/>
  <c r="F369" i="4" s="1"/>
  <c r="I368" i="4"/>
  <c r="H368" i="4"/>
  <c r="F368" i="4" s="1"/>
  <c r="I367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H341" i="4"/>
  <c r="F341" i="4" s="1"/>
  <c r="E341" i="4"/>
  <c r="F340" i="4"/>
  <c r="I339" i="4"/>
  <c r="F339" i="4"/>
  <c r="E339" i="4"/>
  <c r="K338" i="4"/>
  <c r="I338" i="4" s="1"/>
  <c r="K337" i="4"/>
  <c r="H337" i="4" s="1"/>
  <c r="F337" i="4" s="1"/>
  <c r="K336" i="4"/>
  <c r="I336" i="4"/>
  <c r="H336" i="4"/>
  <c r="F336" i="4" s="1"/>
  <c r="K335" i="4"/>
  <c r="I335" i="4" s="1"/>
  <c r="K334" i="4"/>
  <c r="I334" i="4" s="1"/>
  <c r="F334" i="4"/>
  <c r="K333" i="4"/>
  <c r="I333" i="4" s="1"/>
  <c r="F333" i="4"/>
  <c r="K332" i="4"/>
  <c r="I332" i="4" s="1"/>
  <c r="F332" i="4"/>
  <c r="K331" i="4"/>
  <c r="I331" i="4" s="1"/>
  <c r="F331" i="4"/>
  <c r="K330" i="4"/>
  <c r="I330" i="4" s="1"/>
  <c r="F330" i="4"/>
  <c r="K329" i="4"/>
  <c r="I329" i="4" s="1"/>
  <c r="K328" i="4"/>
  <c r="I328" i="4" s="1"/>
  <c r="H328" i="4"/>
  <c r="F328" i="4" s="1"/>
  <c r="K327" i="4"/>
  <c r="I327" i="4" s="1"/>
  <c r="H327" i="4"/>
  <c r="F327" i="4" s="1"/>
  <c r="K326" i="4"/>
  <c r="I326" i="4" s="1"/>
  <c r="H326" i="4"/>
  <c r="F326" i="4" s="1"/>
  <c r="K325" i="4"/>
  <c r="I325" i="4" s="1"/>
  <c r="H325" i="4"/>
  <c r="F325" i="4" s="1"/>
  <c r="K324" i="4"/>
  <c r="I324" i="4"/>
  <c r="H324" i="4"/>
  <c r="F324" i="4" s="1"/>
  <c r="K323" i="4"/>
  <c r="I323" i="4" s="1"/>
  <c r="H323" i="4"/>
  <c r="F323" i="4" s="1"/>
  <c r="K322" i="4"/>
  <c r="I322" i="4" s="1"/>
  <c r="H322" i="4"/>
  <c r="F322" i="4" s="1"/>
  <c r="K321" i="4"/>
  <c r="I321" i="4"/>
  <c r="H321" i="4"/>
  <c r="K320" i="4"/>
  <c r="I320" i="4" s="1"/>
  <c r="H320" i="4"/>
  <c r="F320" i="4" s="1"/>
  <c r="K319" i="4"/>
  <c r="I319" i="4" s="1"/>
  <c r="H319" i="4"/>
  <c r="F319" i="4" s="1"/>
  <c r="K318" i="4"/>
  <c r="I318" i="4" s="1"/>
  <c r="H318" i="4"/>
  <c r="F318" i="4" s="1"/>
  <c r="K317" i="4"/>
  <c r="I317" i="4" s="1"/>
  <c r="H317" i="4"/>
  <c r="F317" i="4" s="1"/>
  <c r="I316" i="4"/>
  <c r="F316" i="4"/>
  <c r="K315" i="4"/>
  <c r="I315" i="4" s="1"/>
  <c r="H315" i="4"/>
  <c r="I314" i="4"/>
  <c r="H314" i="4"/>
  <c r="F314" i="4" s="1"/>
  <c r="I313" i="4"/>
  <c r="H313" i="4"/>
  <c r="F313" i="4" s="1"/>
  <c r="K312" i="4"/>
  <c r="I312" i="4" s="1"/>
  <c r="H312" i="4"/>
  <c r="F312" i="4" s="1"/>
  <c r="K311" i="4"/>
  <c r="I311" i="4" s="1"/>
  <c r="H311" i="4"/>
  <c r="F311" i="4" s="1"/>
  <c r="K310" i="4"/>
  <c r="I310" i="4" s="1"/>
  <c r="H310" i="4"/>
  <c r="F310" i="4"/>
  <c r="K309" i="4"/>
  <c r="I309" i="4" s="1"/>
  <c r="H309" i="4"/>
  <c r="F309" i="4" s="1"/>
  <c r="K308" i="4"/>
  <c r="I308" i="4" s="1"/>
  <c r="H308" i="4"/>
  <c r="F308" i="4" s="1"/>
  <c r="K307" i="4"/>
  <c r="I307" i="4" s="1"/>
  <c r="H307" i="4"/>
  <c r="F307" i="4" s="1"/>
  <c r="K306" i="4"/>
  <c r="I306" i="4" s="1"/>
  <c r="H306" i="4"/>
  <c r="F306" i="4" s="1"/>
  <c r="K305" i="4"/>
  <c r="I305" i="4" s="1"/>
  <c r="H305" i="4"/>
  <c r="F305" i="4" s="1"/>
  <c r="K304" i="4"/>
  <c r="I304" i="4" s="1"/>
  <c r="H304" i="4"/>
  <c r="F304" i="4" s="1"/>
  <c r="K303" i="4"/>
  <c r="I303" i="4" s="1"/>
  <c r="H303" i="4"/>
  <c r="F303" i="4" s="1"/>
  <c r="K302" i="4"/>
  <c r="I302" i="4" s="1"/>
  <c r="H302" i="4"/>
  <c r="F302" i="4" s="1"/>
  <c r="K301" i="4"/>
  <c r="I301" i="4" s="1"/>
  <c r="H301" i="4"/>
  <c r="F301" i="4" s="1"/>
  <c r="K300" i="4"/>
  <c r="I300" i="4" s="1"/>
  <c r="H300" i="4"/>
  <c r="F300" i="4" s="1"/>
  <c r="K299" i="4"/>
  <c r="I299" i="4" s="1"/>
  <c r="K298" i="4"/>
  <c r="I298" i="4" s="1"/>
  <c r="H298" i="4"/>
  <c r="F298" i="4" s="1"/>
  <c r="K297" i="4"/>
  <c r="I297" i="4" s="1"/>
  <c r="K296" i="4"/>
  <c r="I296" i="4" s="1"/>
  <c r="H296" i="4"/>
  <c r="F296" i="4" s="1"/>
  <c r="K295" i="4"/>
  <c r="I295" i="4" s="1"/>
  <c r="K294" i="4"/>
  <c r="I294" i="4" s="1"/>
  <c r="H294" i="4"/>
  <c r="F294" i="4" s="1"/>
  <c r="K293" i="4"/>
  <c r="I293" i="4" s="1"/>
  <c r="H293" i="4"/>
  <c r="F293" i="4" s="1"/>
  <c r="K292" i="4"/>
  <c r="I292" i="4" s="1"/>
  <c r="H292" i="4"/>
  <c r="F292" i="4" s="1"/>
  <c r="K291" i="4"/>
  <c r="I291" i="4" s="1"/>
  <c r="H291" i="4"/>
  <c r="F291" i="4" s="1"/>
  <c r="K290" i="4"/>
  <c r="I290" i="4" s="1"/>
  <c r="H290" i="4"/>
  <c r="F290" i="4" s="1"/>
  <c r="H289" i="4"/>
  <c r="K289" i="4" s="1"/>
  <c r="I289" i="4" s="1"/>
  <c r="I288" i="4"/>
  <c r="H288" i="4"/>
  <c r="F288" i="4" s="1"/>
  <c r="E288" i="4"/>
  <c r="I287" i="4"/>
  <c r="H287" i="4"/>
  <c r="F287" i="4" s="1"/>
  <c r="E287" i="4"/>
  <c r="H286" i="4"/>
  <c r="K285" i="4"/>
  <c r="I285" i="4" s="1"/>
  <c r="H285" i="4"/>
  <c r="E285" i="4"/>
  <c r="H283" i="4"/>
  <c r="H282" i="4"/>
  <c r="H281" i="4"/>
  <c r="H280" i="4"/>
  <c r="I279" i="4"/>
  <c r="H279" i="4"/>
  <c r="H277" i="4"/>
  <c r="H276" i="4"/>
  <c r="H275" i="4"/>
  <c r="H274" i="4"/>
  <c r="H273" i="4"/>
  <c r="H272" i="4"/>
  <c r="H271" i="4"/>
  <c r="H270" i="4"/>
  <c r="I269" i="4"/>
  <c r="H269" i="4"/>
  <c r="E269" i="4"/>
  <c r="I268" i="4"/>
  <c r="H268" i="4"/>
  <c r="F268" i="4" s="1"/>
  <c r="I267" i="4"/>
  <c r="F267" i="4"/>
  <c r="I266" i="4"/>
  <c r="F266" i="4"/>
  <c r="H262" i="4"/>
  <c r="H261" i="4"/>
  <c r="H260" i="4"/>
  <c r="H259" i="4"/>
  <c r="H258" i="4"/>
  <c r="H257" i="4"/>
  <c r="I256" i="4"/>
  <c r="H256" i="4"/>
  <c r="E256" i="4"/>
  <c r="H255" i="4"/>
  <c r="I254" i="4"/>
  <c r="H254" i="4"/>
  <c r="E254" i="4"/>
  <c r="H251" i="4"/>
  <c r="K250" i="4"/>
  <c r="H250" i="4"/>
  <c r="K249" i="4"/>
  <c r="H249" i="4"/>
  <c r="K248" i="4"/>
  <c r="H248" i="4"/>
  <c r="K247" i="4"/>
  <c r="H247" i="4"/>
  <c r="K246" i="4"/>
  <c r="H246" i="4"/>
  <c r="K245" i="4"/>
  <c r="H245" i="4"/>
  <c r="E245" i="4"/>
  <c r="K244" i="4"/>
  <c r="I244" i="4" s="1"/>
  <c r="F244" i="4"/>
  <c r="I243" i="4"/>
  <c r="F243" i="4"/>
  <c r="H233" i="4"/>
  <c r="K232" i="4"/>
  <c r="H232" i="4"/>
  <c r="K231" i="4"/>
  <c r="H231" i="4"/>
  <c r="K230" i="4"/>
  <c r="H230" i="4"/>
  <c r="K229" i="4"/>
  <c r="H229" i="4"/>
  <c r="K228" i="4"/>
  <c r="H228" i="4"/>
  <c r="K227" i="4"/>
  <c r="H227" i="4"/>
  <c r="K226" i="4"/>
  <c r="H226" i="4"/>
  <c r="E226" i="4"/>
  <c r="K225" i="4"/>
  <c r="I225" i="4" s="1"/>
  <c r="F225" i="4"/>
  <c r="H208" i="4"/>
  <c r="H207" i="4"/>
  <c r="K206" i="4"/>
  <c r="H206" i="4"/>
  <c r="K205" i="4"/>
  <c r="H205" i="4"/>
  <c r="K204" i="4"/>
  <c r="H204" i="4"/>
  <c r="H203" i="4"/>
  <c r="F203" i="4" s="1"/>
  <c r="I200" i="4"/>
  <c r="H200" i="4"/>
  <c r="F200" i="4" s="1"/>
  <c r="I198" i="4"/>
  <c r="H198" i="4"/>
  <c r="F198" i="4" s="1"/>
  <c r="E198" i="4"/>
  <c r="I197" i="4"/>
  <c r="H197" i="4"/>
  <c r="F197" i="4" s="1"/>
  <c r="K196" i="4"/>
  <c r="I196" i="4" s="1"/>
  <c r="H196" i="4"/>
  <c r="F196" i="4" s="1"/>
  <c r="K195" i="4"/>
  <c r="I195" i="4" s="1"/>
  <c r="H195" i="4"/>
  <c r="F195" i="4"/>
  <c r="K194" i="4"/>
  <c r="I194" i="4" s="1"/>
  <c r="H194" i="4"/>
  <c r="F194" i="4" s="1"/>
  <c r="K193" i="4"/>
  <c r="I193" i="4" s="1"/>
  <c r="H193" i="4"/>
  <c r="F193" i="4" s="1"/>
  <c r="I192" i="4"/>
  <c r="F192" i="4"/>
  <c r="I191" i="4"/>
  <c r="H191" i="4"/>
  <c r="F191" i="4" s="1"/>
  <c r="I190" i="4"/>
  <c r="F190" i="4"/>
  <c r="I189" i="4"/>
  <c r="F189" i="4"/>
  <c r="I186" i="4"/>
  <c r="F186" i="4"/>
  <c r="K185" i="4"/>
  <c r="I185" i="4" s="1"/>
  <c r="H185" i="4"/>
  <c r="F185" i="4" s="1"/>
  <c r="K184" i="4"/>
  <c r="I184" i="4" s="1"/>
  <c r="H184" i="4"/>
  <c r="F184" i="4" s="1"/>
  <c r="I183" i="4"/>
  <c r="H183" i="4"/>
  <c r="F183" i="4" s="1"/>
  <c r="K181" i="4"/>
  <c r="H181" i="4"/>
  <c r="K180" i="4"/>
  <c r="E180" i="4"/>
  <c r="K179" i="4"/>
  <c r="K178" i="4"/>
  <c r="K177" i="4"/>
  <c r="K176" i="4"/>
  <c r="I175" i="4"/>
  <c r="H175" i="4"/>
  <c r="F175" i="4" s="1"/>
  <c r="K174" i="4"/>
  <c r="I174" i="4" s="1"/>
  <c r="H174" i="4"/>
  <c r="F174" i="4" s="1"/>
  <c r="K173" i="4"/>
  <c r="I173" i="4" s="1"/>
  <c r="H173" i="4"/>
  <c r="F173" i="4" s="1"/>
  <c r="K172" i="4"/>
  <c r="I172" i="4" s="1"/>
  <c r="H172" i="4"/>
  <c r="F172" i="4" s="1"/>
  <c r="K171" i="4"/>
  <c r="I171" i="4" s="1"/>
  <c r="H171" i="4"/>
  <c r="F171" i="4" s="1"/>
  <c r="K170" i="4"/>
  <c r="I170" i="4" s="1"/>
  <c r="H170" i="4"/>
  <c r="F170" i="4" s="1"/>
  <c r="I169" i="4"/>
  <c r="H169" i="4"/>
  <c r="F169" i="4" s="1"/>
  <c r="K168" i="4"/>
  <c r="I168" i="4" s="1"/>
  <c r="H168" i="4"/>
  <c r="F168" i="4" s="1"/>
  <c r="K167" i="4"/>
  <c r="I167" i="4"/>
  <c r="H167" i="4"/>
  <c r="F167" i="4" s="1"/>
  <c r="K166" i="4"/>
  <c r="I166" i="4" s="1"/>
  <c r="H166" i="4"/>
  <c r="F166" i="4" s="1"/>
  <c r="K165" i="4"/>
  <c r="I165" i="4" s="1"/>
  <c r="H165" i="4"/>
  <c r="F165" i="4" s="1"/>
  <c r="K164" i="4"/>
  <c r="I164" i="4"/>
  <c r="H164" i="4"/>
  <c r="F164" i="4" s="1"/>
  <c r="K162" i="4"/>
  <c r="I157" i="4" s="1"/>
  <c r="F157" i="4"/>
  <c r="E157" i="4"/>
  <c r="I156" i="4"/>
  <c r="I155" i="4"/>
  <c r="H155" i="4"/>
  <c r="F155" i="4" s="1"/>
  <c r="K154" i="4"/>
  <c r="I154" i="4" s="1"/>
  <c r="H154" i="4"/>
  <c r="F154" i="4" s="1"/>
  <c r="K153" i="4"/>
  <c r="I153" i="4" s="1"/>
  <c r="H153" i="4"/>
  <c r="F153" i="4" s="1"/>
  <c r="K152" i="4"/>
  <c r="I152" i="4" s="1"/>
  <c r="H152" i="4"/>
  <c r="F152" i="4" s="1"/>
  <c r="K151" i="4"/>
  <c r="I151" i="4" s="1"/>
  <c r="H151" i="4"/>
  <c r="F151" i="4" s="1"/>
  <c r="K150" i="4"/>
  <c r="I150" i="4" s="1"/>
  <c r="H150" i="4"/>
  <c r="F150" i="4" s="1"/>
  <c r="I149" i="4"/>
  <c r="H149" i="4"/>
  <c r="F149" i="4" s="1"/>
  <c r="K148" i="4"/>
  <c r="I148" i="4" s="1"/>
  <c r="H148" i="4"/>
  <c r="F148" i="4" s="1"/>
  <c r="K147" i="4"/>
  <c r="I147" i="4" s="1"/>
  <c r="H147" i="4"/>
  <c r="F147" i="4" s="1"/>
  <c r="K146" i="4"/>
  <c r="I146" i="4" s="1"/>
  <c r="H146" i="4"/>
  <c r="F146" i="4" s="1"/>
  <c r="K145" i="4"/>
  <c r="I145" i="4"/>
  <c r="H145" i="4"/>
  <c r="F145" i="4" s="1"/>
  <c r="K144" i="4"/>
  <c r="I144" i="4" s="1"/>
  <c r="H144" i="4"/>
  <c r="F144" i="4" s="1"/>
  <c r="K142" i="4"/>
  <c r="I137" i="4" s="1"/>
  <c r="F137" i="4"/>
  <c r="E137" i="4"/>
  <c r="F136" i="4"/>
  <c r="I135" i="4"/>
  <c r="I134" i="4"/>
  <c r="H134" i="4"/>
  <c r="F134" i="4" s="1"/>
  <c r="K133" i="4"/>
  <c r="I133" i="4" s="1"/>
  <c r="H133" i="4"/>
  <c r="F133" i="4" s="1"/>
  <c r="K132" i="4"/>
  <c r="I132" i="4" s="1"/>
  <c r="H132" i="4"/>
  <c r="F132" i="4" s="1"/>
  <c r="K131" i="4"/>
  <c r="I131" i="4" s="1"/>
  <c r="H131" i="4"/>
  <c r="F131" i="4" s="1"/>
  <c r="K130" i="4"/>
  <c r="I130" i="4" s="1"/>
  <c r="H130" i="4"/>
  <c r="F130" i="4" s="1"/>
  <c r="K129" i="4"/>
  <c r="I129" i="4" s="1"/>
  <c r="H129" i="4"/>
  <c r="F129" i="4" s="1"/>
  <c r="I128" i="4"/>
  <c r="H128" i="4"/>
  <c r="F128" i="4" s="1"/>
  <c r="K127" i="4"/>
  <c r="I127" i="4" s="1"/>
  <c r="H127" i="4"/>
  <c r="F127" i="4" s="1"/>
  <c r="K126" i="4"/>
  <c r="I126" i="4" s="1"/>
  <c r="H126" i="4"/>
  <c r="F126" i="4" s="1"/>
  <c r="K125" i="4"/>
  <c r="I125" i="4" s="1"/>
  <c r="H125" i="4"/>
  <c r="F125" i="4" s="1"/>
  <c r="K124" i="4"/>
  <c r="I124" i="4" s="1"/>
  <c r="H124" i="4"/>
  <c r="F124" i="4" s="1"/>
  <c r="K123" i="4"/>
  <c r="I123" i="4" s="1"/>
  <c r="H123" i="4"/>
  <c r="F123" i="4" s="1"/>
  <c r="K121" i="4"/>
  <c r="I113" i="4" s="1"/>
  <c r="F113" i="4"/>
  <c r="E113" i="4"/>
  <c r="I112" i="4"/>
  <c r="F112" i="4"/>
  <c r="F111" i="4"/>
  <c r="F110" i="4"/>
  <c r="E110" i="4"/>
  <c r="F109" i="4"/>
  <c r="F108" i="4"/>
  <c r="F107" i="4"/>
  <c r="E107" i="4"/>
  <c r="F106" i="4"/>
  <c r="E106" i="4"/>
  <c r="K105" i="4"/>
  <c r="I105" i="4" s="1"/>
  <c r="H105" i="4"/>
  <c r="F105" i="4" s="1"/>
  <c r="K104" i="4"/>
  <c r="I104" i="4" s="1"/>
  <c r="H104" i="4"/>
  <c r="F104" i="4"/>
  <c r="K103" i="4"/>
  <c r="H103" i="4"/>
  <c r="K102" i="4"/>
  <c r="H102" i="4"/>
  <c r="F102" i="4" s="1"/>
  <c r="K101" i="4"/>
  <c r="I101" i="4" s="1"/>
  <c r="H101" i="4"/>
  <c r="F101" i="4" s="1"/>
  <c r="K100" i="4"/>
  <c r="I100" i="4" s="1"/>
  <c r="I99" i="4"/>
  <c r="F99" i="4"/>
  <c r="I98" i="4"/>
  <c r="F98" i="4"/>
  <c r="E98" i="4"/>
  <c r="I97" i="4"/>
  <c r="F97" i="4"/>
  <c r="K96" i="4"/>
  <c r="I96" i="4" s="1"/>
  <c r="H96" i="4"/>
  <c r="F96" i="4" s="1"/>
  <c r="I95" i="4"/>
  <c r="F95" i="4"/>
  <c r="I94" i="4"/>
  <c r="F94" i="4"/>
  <c r="E94" i="4"/>
  <c r="I93" i="4"/>
  <c r="F93" i="4"/>
  <c r="K92" i="4"/>
  <c r="H92" i="4" s="1"/>
  <c r="F92" i="4" s="1"/>
  <c r="I91" i="4"/>
  <c r="F91" i="4"/>
  <c r="I90" i="4"/>
  <c r="F90" i="4"/>
  <c r="E90" i="4"/>
  <c r="I89" i="4"/>
  <c r="F89" i="4"/>
  <c r="K88" i="4"/>
  <c r="H88" i="4" s="1"/>
  <c r="F88" i="4" s="1"/>
  <c r="I87" i="4"/>
  <c r="F87" i="4"/>
  <c r="I86" i="4"/>
  <c r="F86" i="4"/>
  <c r="E86" i="4"/>
  <c r="I85" i="4"/>
  <c r="F85" i="4"/>
  <c r="K84" i="4"/>
  <c r="H84" i="4" s="1"/>
  <c r="F84" i="4" s="1"/>
  <c r="I83" i="4"/>
  <c r="F83" i="4"/>
  <c r="I82" i="4"/>
  <c r="H82" i="4"/>
  <c r="F82" i="4" s="1"/>
  <c r="I81" i="4"/>
  <c r="H81" i="4"/>
  <c r="F81" i="4" s="1"/>
  <c r="K80" i="4"/>
  <c r="I80" i="4" s="1"/>
  <c r="I79" i="4"/>
  <c r="F79" i="4"/>
  <c r="I78" i="4"/>
  <c r="H78" i="4"/>
  <c r="F78" i="4" s="1"/>
  <c r="I77" i="4"/>
  <c r="H77" i="4"/>
  <c r="F77" i="4" s="1"/>
  <c r="K76" i="4"/>
  <c r="H76" i="4" s="1"/>
  <c r="F76" i="4" s="1"/>
  <c r="I75" i="4"/>
  <c r="F75" i="4"/>
  <c r="I74" i="4"/>
  <c r="F74" i="4"/>
  <c r="E74" i="4"/>
  <c r="I73" i="4"/>
  <c r="F73" i="4"/>
  <c r="K72" i="4"/>
  <c r="H72" i="4" s="1"/>
  <c r="F72" i="4" s="1"/>
  <c r="I71" i="4"/>
  <c r="F71" i="4"/>
  <c r="I70" i="4"/>
  <c r="F70" i="4"/>
  <c r="I69" i="4"/>
  <c r="F69" i="4"/>
  <c r="K68" i="4"/>
  <c r="I68" i="4" s="1"/>
  <c r="K67" i="4"/>
  <c r="I67" i="4" s="1"/>
  <c r="F67" i="4"/>
  <c r="I66" i="4"/>
  <c r="H66" i="4"/>
  <c r="E66" i="4" s="1"/>
  <c r="I65" i="4"/>
  <c r="H65" i="4"/>
  <c r="K64" i="4"/>
  <c r="I64" i="4" s="1"/>
  <c r="K63" i="4"/>
  <c r="I63" i="4"/>
  <c r="I62" i="4"/>
  <c r="H62" i="4"/>
  <c r="F62" i="4" s="1"/>
  <c r="I61" i="4"/>
  <c r="H61" i="4"/>
  <c r="F61" i="4" s="1"/>
  <c r="I60" i="4"/>
  <c r="F60" i="4"/>
  <c r="E60" i="4"/>
  <c r="K58" i="4"/>
  <c r="I58" i="4" s="1"/>
  <c r="K57" i="4"/>
  <c r="I57" i="4" s="1"/>
  <c r="K56" i="4"/>
  <c r="I56" i="4" s="1"/>
  <c r="K55" i="4"/>
  <c r="I55" i="4" s="1"/>
  <c r="H55" i="4"/>
  <c r="F55" i="4"/>
  <c r="K54" i="4"/>
  <c r="I54" i="4" s="1"/>
  <c r="K53" i="4"/>
  <c r="I53" i="4" s="1"/>
  <c r="H53" i="4"/>
  <c r="F53" i="4" s="1"/>
  <c r="K52" i="4"/>
  <c r="I52" i="4" s="1"/>
  <c r="K51" i="4"/>
  <c r="I51" i="4" s="1"/>
  <c r="H51" i="4"/>
  <c r="F51" i="4"/>
  <c r="K50" i="4"/>
  <c r="I50" i="4" s="1"/>
  <c r="K49" i="4"/>
  <c r="I49" i="4" s="1"/>
  <c r="H49" i="4"/>
  <c r="F49" i="4" s="1"/>
  <c r="K48" i="4"/>
  <c r="I48" i="4" s="1"/>
  <c r="I47" i="4"/>
  <c r="I46" i="4"/>
  <c r="F46" i="4"/>
  <c r="F45" i="4"/>
  <c r="I44" i="4"/>
  <c r="F42" i="4"/>
  <c r="K40" i="4"/>
  <c r="I40" i="4"/>
  <c r="H40" i="4"/>
  <c r="F40" i="4" s="1"/>
  <c r="I38" i="4"/>
  <c r="H38" i="4"/>
  <c r="F38" i="4"/>
  <c r="K37" i="4"/>
  <c r="I37" i="4" s="1"/>
  <c r="H37" i="4"/>
  <c r="F37" i="4"/>
  <c r="K36" i="4"/>
  <c r="I36" i="4" s="1"/>
  <c r="H36" i="4"/>
  <c r="F36" i="4" s="1"/>
  <c r="K35" i="4"/>
  <c r="I35" i="4" s="1"/>
  <c r="H35" i="4"/>
  <c r="F35" i="4"/>
  <c r="K34" i="4"/>
  <c r="I34" i="4" s="1"/>
  <c r="H34" i="4"/>
  <c r="F34" i="4"/>
  <c r="K33" i="4"/>
  <c r="I33" i="4" s="1"/>
  <c r="H33" i="4"/>
  <c r="F33" i="4"/>
  <c r="I32" i="4"/>
  <c r="H32" i="4"/>
  <c r="F32" i="4" s="1"/>
  <c r="K31" i="4"/>
  <c r="I31" i="4"/>
  <c r="H31" i="4"/>
  <c r="F31" i="4" s="1"/>
  <c r="K30" i="4"/>
  <c r="I30" i="4" s="1"/>
  <c r="H30" i="4"/>
  <c r="F30" i="4" s="1"/>
  <c r="K29" i="4"/>
  <c r="I29" i="4" s="1"/>
  <c r="H29" i="4"/>
  <c r="F29" i="4" s="1"/>
  <c r="K28" i="4"/>
  <c r="I28" i="4" s="1"/>
  <c r="H28" i="4"/>
  <c r="F28" i="4" s="1"/>
  <c r="K27" i="4"/>
  <c r="I27" i="4"/>
  <c r="H27" i="4"/>
  <c r="F27" i="4" s="1"/>
  <c r="I26" i="4"/>
  <c r="F26" i="4"/>
  <c r="I25" i="4"/>
  <c r="F25" i="4"/>
  <c r="I24" i="4"/>
  <c r="H24" i="4"/>
  <c r="F24" i="4" s="1"/>
  <c r="H23" i="4"/>
  <c r="F22" i="4" s="1"/>
  <c r="K22" i="4"/>
  <c r="I22" i="4" s="1"/>
  <c r="H22" i="4"/>
  <c r="E22" i="4"/>
  <c r="I21" i="4"/>
  <c r="F21" i="4"/>
  <c r="H14" i="4"/>
  <c r="F14" i="4" s="1"/>
  <c r="H10" i="4"/>
  <c r="I9" i="4"/>
  <c r="H9" i="4"/>
  <c r="E9" i="4"/>
  <c r="I245" i="4" l="1"/>
  <c r="H335" i="4"/>
  <c r="F335" i="4" s="1"/>
  <c r="H56" i="4"/>
  <c r="F56" i="4" s="1"/>
  <c r="H68" i="4"/>
  <c r="F68" i="4" s="1"/>
  <c r="I72" i="4"/>
  <c r="E78" i="4"/>
  <c r="I84" i="4"/>
  <c r="I102" i="4"/>
  <c r="I489" i="4"/>
  <c r="F204" i="4"/>
  <c r="F9" i="4"/>
  <c r="H64" i="4"/>
  <c r="F64" i="4" s="1"/>
  <c r="H490" i="4"/>
  <c r="F490" i="4" s="1"/>
  <c r="H52" i="4"/>
  <c r="F52" i="4" s="1"/>
  <c r="F66" i="4"/>
  <c r="I88" i="4"/>
  <c r="F245" i="4"/>
  <c r="F254" i="4"/>
  <c r="H295" i="4"/>
  <c r="F295" i="4" s="1"/>
  <c r="H297" i="4"/>
  <c r="F297" i="4" s="1"/>
  <c r="I337" i="4"/>
  <c r="F439" i="4"/>
  <c r="I466" i="4"/>
  <c r="H100" i="4"/>
  <c r="F100" i="4" s="1"/>
  <c r="H180" i="4"/>
  <c r="F180" i="4" s="1"/>
  <c r="F226" i="4"/>
  <c r="H338" i="4"/>
  <c r="F338" i="4" s="1"/>
  <c r="F445" i="4"/>
  <c r="H488" i="4"/>
  <c r="F488" i="4" s="1"/>
  <c r="H48" i="4"/>
  <c r="F48" i="4" s="1"/>
  <c r="H57" i="4"/>
  <c r="F57" i="4" s="1"/>
  <c r="I92" i="4"/>
  <c r="F279" i="4"/>
  <c r="F285" i="4"/>
  <c r="H299" i="4"/>
  <c r="F299" i="4" s="1"/>
  <c r="H329" i="4"/>
  <c r="F329" i="4" s="1"/>
  <c r="I459" i="4"/>
  <c r="F442" i="4"/>
  <c r="F444" i="4"/>
  <c r="K199" i="4"/>
  <c r="K201" i="4" s="1"/>
  <c r="I179" i="4"/>
  <c r="H179" i="4"/>
  <c r="F179" i="4" s="1"/>
  <c r="H80" i="4"/>
  <c r="F80" i="4" s="1"/>
  <c r="K497" i="4"/>
  <c r="I204" i="4"/>
  <c r="I177" i="4"/>
  <c r="H177" i="4"/>
  <c r="F177" i="4" s="1"/>
  <c r="H50" i="4"/>
  <c r="F50" i="4" s="1"/>
  <c r="F199" i="4" s="1"/>
  <c r="F201" i="4" s="1"/>
  <c r="H54" i="4"/>
  <c r="F54" i="4" s="1"/>
  <c r="H58" i="4"/>
  <c r="F58" i="4" s="1"/>
  <c r="F65" i="4"/>
  <c r="I76" i="4"/>
  <c r="E82" i="4"/>
  <c r="I176" i="4"/>
  <c r="H176" i="4"/>
  <c r="F176" i="4" s="1"/>
  <c r="I178" i="4"/>
  <c r="H178" i="4"/>
  <c r="F178" i="4" s="1"/>
  <c r="I180" i="4"/>
  <c r="F289" i="4"/>
  <c r="I226" i="4"/>
  <c r="F269" i="4"/>
  <c r="F315" i="4"/>
  <c r="F256" i="4"/>
  <c r="F321" i="4"/>
  <c r="I341" i="4"/>
  <c r="F438" i="4"/>
  <c r="F443" i="4"/>
  <c r="F498" i="4"/>
  <c r="I199" i="4" l="1"/>
  <c r="I201" i="4" s="1"/>
  <c r="H497" i="4"/>
  <c r="F497" i="4"/>
  <c r="F499" i="4" s="1"/>
  <c r="K499" i="4"/>
  <c r="K500" i="4" s="1"/>
  <c r="I497" i="4"/>
  <c r="H499" i="4"/>
  <c r="H199" i="4"/>
  <c r="H201" i="4" l="1"/>
  <c r="I499" i="4"/>
  <c r="F500" i="4"/>
  <c r="I500" i="4" l="1"/>
  <c r="H500" i="4"/>
</calcChain>
</file>

<file path=xl/sharedStrings.xml><?xml version="1.0" encoding="utf-8"?>
<sst xmlns="http://schemas.openxmlformats.org/spreadsheetml/2006/main" count="1737" uniqueCount="496">
  <si>
    <t>ОТЧЕТ</t>
  </si>
  <si>
    <t>о ходе исполнения инвестиционной программы «Реконструкция (модернизация) систем водоснабжения и водоотведения на территории  городского округа город Воронеж на 2012 – 2018 годы (в рамках реализации Концессионного соглашения от 23.03.2012 г)» ООО "РВК-Воронеж"</t>
  </si>
  <si>
    <t>январь-декабрь 2016 г.</t>
  </si>
  <si>
    <t>Наименование целевого показателя и мероприятий</t>
  </si>
  <si>
    <t>Подрядчик</t>
  </si>
  <si>
    <t>Стоимость мероприятий по договору, тыс. руб., (с НДС)</t>
  </si>
  <si>
    <t>Фактическое финансирование тыс. руб., (с НДС)</t>
  </si>
  <si>
    <t>Платежное поручение</t>
  </si>
  <si>
    <t>Фактическое выполнение, тыс. руб., (с НДС)</t>
  </si>
  <si>
    <t>Обоснование</t>
  </si>
  <si>
    <t>Наименование</t>
  </si>
  <si>
    <t>№ и дата договора</t>
  </si>
  <si>
    <t>№, дата</t>
  </si>
  <si>
    <t>сумма, тыс. руб.</t>
  </si>
  <si>
    <t>ВОДОСНАБЖЕНИЕ</t>
  </si>
  <si>
    <t>Строительство ВПС-21 (Геологоразведочные работы, ПИР) (Модернизация ВПС-21)</t>
  </si>
  <si>
    <t>ООО ВПФ "ПССВ"</t>
  </si>
  <si>
    <t>477/14 от 24.07.14</t>
  </si>
  <si>
    <t>№702 от 16.02.2016</t>
  </si>
  <si>
    <t>КС-2, КС-3 №4 от 07.09.2016</t>
  </si>
  <si>
    <t xml:space="preserve">6528 от 30.09.2016 </t>
  </si>
  <si>
    <t>ООО "РВК-консалтинг"</t>
  </si>
  <si>
    <t>488/14 от 04.06.14</t>
  </si>
  <si>
    <t xml:space="preserve"> 2428,636 в месяц</t>
  </si>
  <si>
    <t>№944 от 26.02.2016</t>
  </si>
  <si>
    <t>__</t>
  </si>
  <si>
    <t>УК "РосВодоканал"</t>
  </si>
  <si>
    <t>138/14 от 12.03.14</t>
  </si>
  <si>
    <t>ООО "ЭНЕРГОСТРОЙ"</t>
  </si>
  <si>
    <t>451/15 от 09.10.15</t>
  </si>
  <si>
    <t>№4457 от 27.07.2016</t>
  </si>
  <si>
    <t>КС-2, КС-3 №2 от 20.07.2016</t>
  </si>
  <si>
    <t xml:space="preserve">№6220 от 21.09.2016 </t>
  </si>
  <si>
    <t>ФГБУ "Центрально-Черноземное УГМС"</t>
  </si>
  <si>
    <t>№1660 от 11.04.2016</t>
  </si>
  <si>
    <t>Акт №03/209 от 12.04.2016 (ноя)</t>
  </si>
  <si>
    <t>546/16 от 08.11.2016</t>
  </si>
  <si>
    <t>Акт от 26.12.2016</t>
  </si>
  <si>
    <t>№9533 от 28.12.2016 (часть)</t>
  </si>
  <si>
    <t>Отчет агента за ноябрь</t>
  </si>
  <si>
    <t>Оплата труда, страховые взносы (январь)</t>
  </si>
  <si>
    <t>Оплата труда, страховые взносы (февраль)</t>
  </si>
  <si>
    <t>Оплата труда, страховые взносы (март)</t>
  </si>
  <si>
    <t>Оплата труда, страховые взносы (апрель)</t>
  </si>
  <si>
    <t>Оплата труда, страховые взносы (май)</t>
  </si>
  <si>
    <t>Оплата труда, страховые взносы (июнь)</t>
  </si>
  <si>
    <t>Создание и внедрение гидравлической модели работы системы подачи и распределения воды (СПРВ)</t>
  </si>
  <si>
    <t>ООО Нижне-Волжское предприятие "Росводоканал"</t>
  </si>
  <si>
    <t xml:space="preserve"> 242/12 от 15.08.12</t>
  </si>
  <si>
    <t xml:space="preserve">№5802 от 01.09.2016 </t>
  </si>
  <si>
    <t>Акт №4 от 19.08.16</t>
  </si>
  <si>
    <t>Реконструкция ПНС-117 (инв. №10000609) с заменой  оборудования (Насосная установка Hydro MPC - E 4CRE45 -2+Opc ) (Реконструкция ПНС-117)</t>
  </si>
  <si>
    <t>Сторно (материалы)</t>
  </si>
  <si>
    <t>Создание системы телеметрии ПНС и контрольных точек. Внедрение 20 контрольных точек</t>
  </si>
  <si>
    <t>ООО "СаНи"</t>
  </si>
  <si>
    <t>713/14 от 21.11.14</t>
  </si>
  <si>
    <t>Автоматизация ПНС (монтаж шкафов автоматизации)</t>
  </si>
  <si>
    <t>783/14 от 12.12.14</t>
  </si>
  <si>
    <t>Оплата труда, страховые взносы (август)</t>
  </si>
  <si>
    <t>Оплата труда, страховые взносы (сентябрь)</t>
  </si>
  <si>
    <t>Оплата труда, страховые взносы (октябрь)</t>
  </si>
  <si>
    <t>Оплата труда, страховые взносы (ноябрь)</t>
  </si>
  <si>
    <t>Оплата труда, страховые взносы (декабрь)</t>
  </si>
  <si>
    <t>Установка вантузов и регуляторов давления. ПИР и СМР. Модернизация водопроводной сети путем установки вантузов. (Установка вантузов и регуляторов давления)</t>
  </si>
  <si>
    <t>ООО "ПОЛИПЛАСТИК Поволжье"</t>
  </si>
  <si>
    <t>381/15 от 03.09.15</t>
  </si>
  <si>
    <t>ООО "ДиТиАй"</t>
  </si>
  <si>
    <t>492/15 от 28.10.15г.</t>
  </si>
  <si>
    <t>№942 от 26.02.2016</t>
  </si>
  <si>
    <t>491/15 от 28.10.2015г.</t>
  </si>
  <si>
    <t>№943 от 26.02.2016</t>
  </si>
  <si>
    <t xml:space="preserve">Материалы (март) </t>
  </si>
  <si>
    <t>ИП Модернизация машинного зала производственного здания( инв." 10000062) на ВПС-4/3</t>
  </si>
  <si>
    <t xml:space="preserve">ООО "Арматура ГмбХ" </t>
  </si>
  <si>
    <t>318/16 от 15.07.16 (часть)</t>
  </si>
  <si>
    <t>№9305 от 15.12.2016 (часть)</t>
  </si>
  <si>
    <t xml:space="preserve">Материалы (декабрь) </t>
  </si>
  <si>
    <t>Модернизация машинного зала насосной станции ( инв." 10000095) на ВПС-8</t>
  </si>
  <si>
    <t>Модернизация машинного зала насосной станции( инв." 10000138) на ВПС-9</t>
  </si>
  <si>
    <t>Модернизация машинного зала насосной станции( инв." 10000220) на ВПС-11/2</t>
  </si>
  <si>
    <t>ИП Модернизация машинного зала насосной станции( инв." 10000225) на ВПС-11/3</t>
  </si>
  <si>
    <t>ИП Модернизация машинного зала станции обезжелезивкания воды ( инв." 10000234) на ВПС-12</t>
  </si>
  <si>
    <t>ИП Модернизация машинного зала насосной станции( инв." 10000512) на ПС-7а, 7Б</t>
  </si>
  <si>
    <t>ИП Модернизация машинного зала основного строения( инв." 10000152) на ПС-10</t>
  </si>
  <si>
    <t>ИП Модернизация машинного зала повысительной станции( инв." 10000483) на ПС-14</t>
  </si>
  <si>
    <t>Создание системы охраны периметра ВПС-8 и ВПС-12</t>
  </si>
  <si>
    <t>№3557 от 30.06.2016 (часть)</t>
  </si>
  <si>
    <t>Отчет агента за май</t>
  </si>
  <si>
    <t>ООО "ТВ-Сервис"</t>
  </si>
  <si>
    <t>202/16 от 10.05.16</t>
  </si>
  <si>
    <t>№4456 от 27.07.2016</t>
  </si>
  <si>
    <t>КС-2, КС-3 №1 от 05.07.2016 (объект №12)</t>
  </si>
  <si>
    <t>№4455 от 27.07.2016</t>
  </si>
  <si>
    <t>КС-2, КС-3 №1 от 05.07.2016 (объект №8)</t>
  </si>
  <si>
    <t>Создание локальной системы оповещения (ВПС №12)</t>
  </si>
  <si>
    <t>ООО "Многоцелевая подвижная связь"</t>
  </si>
  <si>
    <t>225/16 от 26.05.16</t>
  </si>
  <si>
    <t>№5563 от 24.08.2016</t>
  </si>
  <si>
    <t>КС-2, КС-3 №1 от 01.08.2016</t>
  </si>
  <si>
    <t>Реконструкция ВПС-4/3. Комплекс работ по техническому перевооружению оборудования машинных залов. (инв. №10000062) (Реконструкция   ВПС-4)</t>
  </si>
  <si>
    <t>ОАО "Научно-технический центр Федеральной сетевой энергетической системы" (ОАО "НТЦ ФСК ЕЭС")</t>
  </si>
  <si>
    <t>561/13 от 14.08.13</t>
  </si>
  <si>
    <t>Реконструкция ВПС-8/2.  Комплекс работ по техническому перевооружению оборудования машинных залов. Реконструкция и техническое перевооружение РУ-6 кВ  (инв. №10000095) (Реконструкция   ВПС-8)</t>
  </si>
  <si>
    <t>№559/13 от 14.08.13</t>
  </si>
  <si>
    <t>ООО ПФК "Электрощит"</t>
  </si>
  <si>
    <t>175/14 от 07.04.14</t>
  </si>
  <si>
    <t>1351,821 в месяц</t>
  </si>
  <si>
    <t>Реконструкция ВПС-11/3. Комплекс работ по техническому перевооружению оборудования машинных залов. (инв. №10000225) (Реконструкция ВПС-11)</t>
  </si>
  <si>
    <t>560/13 от 14.08.13</t>
  </si>
  <si>
    <t>Реконструкция  ПС-7. Комплекс работ по техническому перевооружению оборудования насосной станции. (инв .№10000512) (Реконструкция  ПС-7)</t>
  </si>
  <si>
    <t xml:space="preserve">290/12 от 10.09.12 </t>
  </si>
  <si>
    <t>Реконструкция ПС-10. Комплекс работ по техническому перевооружению оборудования насосной станции.  (инв. №10000152) (Реконструкция  ПС-10)</t>
  </si>
  <si>
    <t>АО "Гидромашсервис"</t>
  </si>
  <si>
    <t>748/15 от 29.12.15 (часть)</t>
  </si>
  <si>
    <t>КС-3, КС2 (1,2,3,4,5,) от 23.12.2016</t>
  </si>
  <si>
    <t>Реконструкция ПС-13. Комплекс работ по техническому перевооружению оборудования насосной станции. (инв. №10000261) (Реконструкция  ПС-13)</t>
  </si>
  <si>
    <t>748/15 от 29.12.15  (часть)</t>
  </si>
  <si>
    <t>КС-3, КС2 (6,7,8,9,10) от 23.12.2016</t>
  </si>
  <si>
    <t>Реконструкция ПС-14. Комплекс работ по техническому перевооружению оборудования насосной станции. (инв. №10000483) (Реконструкция  ПС-14)</t>
  </si>
  <si>
    <t>КС-3, КС2 (11,12,13,14,15) от 23.12.2016</t>
  </si>
  <si>
    <t>ПИР. Реконструкция ВПС-11/2. Комплекс работ по техническому перевооружению оборудования машинных залов</t>
  </si>
  <si>
    <t>УК «РОСВОДОКАНАЛ»</t>
  </si>
  <si>
    <t>№6494 от 29.09.2016 (часть)</t>
  </si>
  <si>
    <t>Отчет агента за август</t>
  </si>
  <si>
    <t>ПИР. Реконструкция ВПС-9. Комплекс работ по техническому перевооружению оборудования машинных залов</t>
  </si>
  <si>
    <t>ПИР. Реконструкция ВПС-3а. Комплекс работ по техническому перевооружению оборудования машинных залов</t>
  </si>
  <si>
    <t>ПИР. Реконструкция ВПС-6. Комплекс работ по техническому перевооружению оборудования машинных залов</t>
  </si>
  <si>
    <t>Приобретение основных средств (водоснабжение)</t>
  </si>
  <si>
    <t>ООО "Зелаз"</t>
  </si>
  <si>
    <t>218/16 от 24.05.16 (часть)</t>
  </si>
  <si>
    <t>№5564 от 24.08.2016 (часть)</t>
  </si>
  <si>
    <t>ТОРГ-12 №497 от 12.07.2016 (часть)</t>
  </si>
  <si>
    <t>№5180 от 18.08.2016</t>
  </si>
  <si>
    <t>ПИР, СМР. Строительство сетей водоснабжения в микрорайоне Никольское</t>
  </si>
  <si>
    <t>№945 от 26.02.2016</t>
  </si>
  <si>
    <t>№1763 от 15.04.2016 (часть)</t>
  </si>
  <si>
    <t>Отчет агента за февраль</t>
  </si>
  <si>
    <t>ООО "АгроПроектИнжиниринг"</t>
  </si>
  <si>
    <t xml:space="preserve">78/16 от 19.02.16 </t>
  </si>
  <si>
    <t xml:space="preserve">6529 от 30.09.2016 </t>
  </si>
  <si>
    <t>Акт  от 01.08.2016</t>
  </si>
  <si>
    <t>ООО "ЭкоСтрой"</t>
  </si>
  <si>
    <t xml:space="preserve"> 541/16 от 15.11.16</t>
  </si>
  <si>
    <t>КС-2, КС-3 №1 от 17.11.16</t>
  </si>
  <si>
    <t>КС-2, КС-3 №2 от 20.12.16</t>
  </si>
  <si>
    <t>Давальческие материалы ООО "ЭкоСтрой" (ноябрь)</t>
  </si>
  <si>
    <t>Давальческие материалы ООО "ЭкоСтрой" (декабрь)</t>
  </si>
  <si>
    <t>Оплата труда, страховые взносы (июнь )</t>
  </si>
  <si>
    <t>Оплата труда, страховые взносы (июль)</t>
  </si>
  <si>
    <t>ПИР, СМР. Водоснабжение школы на 600 мест, расположенной по адресу Московский пр., 142у</t>
  </si>
  <si>
    <t>№946 от 26.02.2016</t>
  </si>
  <si>
    <t>ООО ТСП "Воронеж Строй Комплекс"</t>
  </si>
  <si>
    <t xml:space="preserve">665/15 от 27.11.15 </t>
  </si>
  <si>
    <t>№938 от 26.02.2016</t>
  </si>
  <si>
    <t>Всего по ВОДОСНАБЖЕНИЮ</t>
  </si>
  <si>
    <t>Расходы заказчика-застройщика по водоснабжению</t>
  </si>
  <si>
    <t>ИТОГО по ВОДОСНАБЖЕНИЮ, в т.ч. Расходы заказчика-застройщика</t>
  </si>
  <si>
    <t>ВОДООТВЕДЕНИЕ</t>
  </si>
  <si>
    <t>ПИР, СМР. Реконструкция аэротенков с внедрением современных технологий нитри-денитрификации (инв. № 20000328) (ПИР: Проектно-изыскательские работы)</t>
  </si>
  <si>
    <t>№947 от 26.02.2016</t>
  </si>
  <si>
    <t>ООО "Укрепрайон"</t>
  </si>
  <si>
    <t>728/14 от 28.11.14</t>
  </si>
  <si>
    <t>№363 от 28.01.2016</t>
  </si>
  <si>
    <t>КС-2, КС-3 №23 от 29.01.16</t>
  </si>
  <si>
    <t>№932 от 26.02.2016</t>
  </si>
  <si>
    <t>КС-2, КС-3 №24 от 29.01.16</t>
  </si>
  <si>
    <t>№933 от 26.02.2016</t>
  </si>
  <si>
    <t>КС-2, КС-3 №25 от 10.03.16</t>
  </si>
  <si>
    <t>№1661 от 11.04.2016</t>
  </si>
  <si>
    <t>КС-2, КС-3 №28 от 03.10.2016</t>
  </si>
  <si>
    <t>№966856 от 11.11.2016</t>
  </si>
  <si>
    <t>КС-2, КС-3 №26 от 03.10.2016</t>
  </si>
  <si>
    <t>№8016 от 11.11.2016</t>
  </si>
  <si>
    <t>КС-2, КС-3 №27 от 03.10.2016</t>
  </si>
  <si>
    <t>№8015 от 11.11.2016</t>
  </si>
  <si>
    <t>КС-2, КС-3 №29 от 31.10.2016</t>
  </si>
  <si>
    <t>№8876 от 30.11.2016</t>
  </si>
  <si>
    <t>КС-2, КС-3 №30 от 03.10.2016</t>
  </si>
  <si>
    <t>№8877 от 30.11.2016</t>
  </si>
  <si>
    <t>КС-2, КС-3 №31 от 15.11.2016</t>
  </si>
  <si>
    <t>№9234 от 14.12.2016</t>
  </si>
  <si>
    <t>Давальческие материалы ООО "Укрепрайон" (октябрь)</t>
  </si>
  <si>
    <t xml:space="preserve">427/15 от 30.09.15 </t>
  </si>
  <si>
    <t>№364 от 28.01.2016</t>
  </si>
  <si>
    <t>КС-2, КС-3 №4 от 29.02.16</t>
  </si>
  <si>
    <t xml:space="preserve">№1895 от 22.04.2016 </t>
  </si>
  <si>
    <t>КС-2, КС-3 №5 от 29.02.16</t>
  </si>
  <si>
    <t>№1897 от 22.04.2016</t>
  </si>
  <si>
    <t>КС-2, КС-3 №8 от 30.06.16</t>
  </si>
  <si>
    <t>№5149 от 16.08.2016</t>
  </si>
  <si>
    <t>КС-2, КС-3 №7 от 30.06.16</t>
  </si>
  <si>
    <t>№5150 от 16.08.2016</t>
  </si>
  <si>
    <t>КС-2, КС-3 №6 от 30.06.17</t>
  </si>
  <si>
    <t>№5151 от 16.08.2016</t>
  </si>
  <si>
    <t>КС-2, КС-3 №9 от 01.08.2016</t>
  </si>
  <si>
    <t xml:space="preserve">№6530 от 30.09.2016 </t>
  </si>
  <si>
    <t>КС-2, КС-3 №10 от 01.08.2016</t>
  </si>
  <si>
    <t xml:space="preserve">№6531 от 30.09.2016 </t>
  </si>
  <si>
    <t>КС-2, КС-3 №11 от 03.10.2016</t>
  </si>
  <si>
    <t>№8909 от 01.12.2016</t>
  </si>
  <si>
    <t>КС-2, КС-3 №12 от 03.10.2016</t>
  </si>
  <si>
    <t>№8910 от 01.12.2016</t>
  </si>
  <si>
    <t>КС-2, КС-3 №16 от 20.12.2016</t>
  </si>
  <si>
    <t>КС-2, КС-3 №13 от 20.12.2016</t>
  </si>
  <si>
    <t>КС-2, КС-3 №14 от 20.12.2016</t>
  </si>
  <si>
    <t>КС-2, КС-3 №15 от 20.12.2016</t>
  </si>
  <si>
    <t>КС-2, КС-3 №17 от 20.12.2016</t>
  </si>
  <si>
    <t>Давальческие материалы ООО "Укрепрайон" (ноябрь) корректировка</t>
  </si>
  <si>
    <t xml:space="preserve">Давальческие материалы ООО "Укрепрайон" (декабрь) </t>
  </si>
  <si>
    <t>АО "МАЙ ПРОЕКТ"</t>
  </si>
  <si>
    <t>468/15 от 16.10.15</t>
  </si>
  <si>
    <t>№400 от 29.01.2016</t>
  </si>
  <si>
    <t>Акт №3 от 29.02.16</t>
  </si>
  <si>
    <t>№1335 от 28.03.2016</t>
  </si>
  <si>
    <t>Акт №4 от 30.03.16</t>
  </si>
  <si>
    <t>№1896 от 22.04.2016</t>
  </si>
  <si>
    <t>Акт  №5 от 18.05.16</t>
  </si>
  <si>
    <t xml:space="preserve">№4451 от 27.07.2016 </t>
  </si>
  <si>
    <t xml:space="preserve">Акт №6 от 23.06.16 </t>
  </si>
  <si>
    <t>№4454 от 27.07.2016</t>
  </si>
  <si>
    <t>Акт №7 от 29.07.2016</t>
  </si>
  <si>
    <t>№5148 от 16.08.2016</t>
  </si>
  <si>
    <t>Акт №8 от 22.08.2016</t>
  </si>
  <si>
    <t xml:space="preserve">6218 от 21.09.2016 </t>
  </si>
  <si>
    <t>Акт №8 от 30.09.2016</t>
  </si>
  <si>
    <t>7586 от 03.11.2016</t>
  </si>
  <si>
    <t>Акт №10 от 31.10.2016</t>
  </si>
  <si>
    <t>№8875 от 30.11.2016</t>
  </si>
  <si>
    <t xml:space="preserve">469/15 от 20.10.15  </t>
  </si>
  <si>
    <t>№703 от 26.02.2016</t>
  </si>
  <si>
    <t xml:space="preserve">№4452 от 27.07.2016 </t>
  </si>
  <si>
    <t>187/16 от 06.05.16, д/с №671/19 от 21.12.2016</t>
  </si>
  <si>
    <t xml:space="preserve">№2518 от 19.05.2016 </t>
  </si>
  <si>
    <t>КС-2, КС-3 №1 от 31.10.2016</t>
  </si>
  <si>
    <t>№4453 от 27.07.2016</t>
  </si>
  <si>
    <t>КС-2, КС-3 №2 от 30.11.2016</t>
  </si>
  <si>
    <t>№5145 от 16.08.2016</t>
  </si>
  <si>
    <t>КС-2, КС-3 №3 от 14.12.2016</t>
  </si>
  <si>
    <t>№5146 от 16.08.2016</t>
  </si>
  <si>
    <t>КС-2, КС-3 №4 от 22.12.2016</t>
  </si>
  <si>
    <t>№5147 от 16.08.2016</t>
  </si>
  <si>
    <t>№5562 от 24.08.2016</t>
  </si>
  <si>
    <t xml:space="preserve">№5958 от 08.09.2016 </t>
  </si>
  <si>
    <t>№8889 от 30.11.2016</t>
  </si>
  <si>
    <t>№9005 от 07.12.2016</t>
  </si>
  <si>
    <t>Давальческие материалы АО "МАЙ ПРОЕКТ" (ноябрь)</t>
  </si>
  <si>
    <t>Давальческие материалы АО "МАЙ ПРОЕКТ" (декабрь)</t>
  </si>
  <si>
    <t xml:space="preserve">№965004 от 31.05.2016 </t>
  </si>
  <si>
    <t>ООО"Волжская металлобаза"</t>
  </si>
  <si>
    <t>711/15 от 17.12.15</t>
  </si>
  <si>
    <t>№934 от 26.02.2016</t>
  </si>
  <si>
    <t>№935 от 26.02.2016</t>
  </si>
  <si>
    <t>№975 от 28.03.2016</t>
  </si>
  <si>
    <t xml:space="preserve">№1332 от 28.03.2016 </t>
  </si>
  <si>
    <t>№1333 от 28.03.2016</t>
  </si>
  <si>
    <t>№1334 от 28.03.2016</t>
  </si>
  <si>
    <t xml:space="preserve">№2519 от 19.05.2016 </t>
  </si>
  <si>
    <t>№3239 от 20.06.2016</t>
  </si>
  <si>
    <t>№3240 от 20.06.2016</t>
  </si>
  <si>
    <t>№908 от 26.02.2016  (часть)</t>
  </si>
  <si>
    <t>№1763 от 15.04.2016 (часть),№1764 от 15.04.2016  (часть)</t>
  </si>
  <si>
    <t>№4491 от 29.07.2016</t>
  </si>
  <si>
    <t>ООО "Оборонэкспертиза"</t>
  </si>
  <si>
    <t>119/16 от 17.03.16</t>
  </si>
  <si>
    <t>№1336 от 28.03.2016</t>
  </si>
  <si>
    <t>Акт №175 от 07.07.2016</t>
  </si>
  <si>
    <t>№3241 от 20.06.2016</t>
  </si>
  <si>
    <t>ООО "КВО-АРМ"</t>
  </si>
  <si>
    <t>744/15 от 29.12.15</t>
  </si>
  <si>
    <t xml:space="preserve">№5801 от 01.09.2016 </t>
  </si>
  <si>
    <t>ООО "Соединительные детали трубопроводов"</t>
  </si>
  <si>
    <t>182/16 от 28.04.2016, д/с №334/16 от 20.07.16</t>
  </si>
  <si>
    <t xml:space="preserve">№6527 от 30.09.2016 </t>
  </si>
  <si>
    <t>Капитализация процентов январь</t>
  </si>
  <si>
    <t>Капитализация процентов февраль</t>
  </si>
  <si>
    <t>Капитализация процентов март</t>
  </si>
  <si>
    <t>Капитализация процентов апрель</t>
  </si>
  <si>
    <t>Капитализация процентов май</t>
  </si>
  <si>
    <t>Капитализация процентов июнь</t>
  </si>
  <si>
    <t>Капитализация процентов июль</t>
  </si>
  <si>
    <t>Капитализация процентов август</t>
  </si>
  <si>
    <t>Капитализация процентов сентябрь</t>
  </si>
  <si>
    <t>Капитализация процентов октябрь</t>
  </si>
  <si>
    <t xml:space="preserve"> Капитализация процентов (ноябрь)</t>
  </si>
  <si>
    <t xml:space="preserve"> Капитализация процентов (декабрь)</t>
  </si>
  <si>
    <t>ПИР, СМР. Строительство цеха механического обезвоживания осадка (ЦМО) на ПОС</t>
  </si>
  <si>
    <t>№948 от 26.02.2016</t>
  </si>
  <si>
    <t>№1659 от 11.04.2016</t>
  </si>
  <si>
    <t>Акт №03/204 от 12.04.2016 (ноя)</t>
  </si>
  <si>
    <t>№1764 от 15.04.2016 (часть)</t>
  </si>
  <si>
    <t>Отчет агента за март</t>
  </si>
  <si>
    <t xml:space="preserve">102/16 от 09.03.16 </t>
  </si>
  <si>
    <t>Акт №1 от 30.12.2016</t>
  </si>
  <si>
    <t>Приобретение основных средств (водоотведение)</t>
  </si>
  <si>
    <t>Оплата труда, страховые взносы апрель дробилка РД 600  ООО "НафтаЭКО инжиниринговая компания" (ООО "Водмашоборудование")</t>
  </si>
  <si>
    <t>Материалы апрель ( РЕШЕТКА ДРОБИЛКА РД-600 Модернизация (установка мотор-редуктора))</t>
  </si>
  <si>
    <t>Материалы май ( РЕШЕТКА ДРОБИЛКА РД-600 Модернизация (установка мотор-редуктора))</t>
  </si>
  <si>
    <t>Материалы июнь ( РЕШЕТКА ДРОБИЛКА РД-600  Модернизация (установка мотор-редуктора))</t>
  </si>
  <si>
    <t>Материалы июль (РЕШЕТКА ДРОБИЛКА РД-600  Модернизация (установка мотор-редуктора))</t>
  </si>
  <si>
    <t>Материалы август (РЕШЕТКА ДРОБИЛКА РД-600  Модернизация (установка мотор-редуктора))</t>
  </si>
  <si>
    <t>Оплата труда, страховые взносы май Решетка дробилка РД-600 (установка мотор-редуктора)</t>
  </si>
  <si>
    <t>Оплата труда, страховые взносы июнь Решетка дробилка РД-600 (установка мотор-редуктора)</t>
  </si>
  <si>
    <t>Оплата труда, страховые взносы июль Решетка дробилка РД-600 (установка мотор-редуктора)</t>
  </si>
  <si>
    <t>Оплата труда, страховые взносы август Решетка дробилка РД-600 (установка мотор-редуктора)</t>
  </si>
  <si>
    <t>ООО ГК "Авангард"</t>
  </si>
  <si>
    <t>117/16 от 17.03.16</t>
  </si>
  <si>
    <t>№3238 от 20.06.2016</t>
  </si>
  <si>
    <t>ПИР, СМР. Реконструкция главного Левобережного коллектора Д-2000 мм протяженностью L-3000 п.м.  (инв. №30014578 «Канализационные сети Левобережного района»).</t>
  </si>
  <si>
    <t>ООО "СтройПолимерМонтаж"</t>
  </si>
  <si>
    <t>306/14 от 19.05.14</t>
  </si>
  <si>
    <t>ООО "Производственная фирма "СТИС""</t>
  </si>
  <si>
    <t xml:space="preserve">507/15 от 16.11.15 </t>
  </si>
  <si>
    <t xml:space="preserve">№4169 от 12.07.16 </t>
  </si>
  <si>
    <t>КС-2, КС-3 №9 от 31.03.16</t>
  </si>
  <si>
    <t>КС-2, КС-3 №10 от 31.03.16</t>
  </si>
  <si>
    <t>КС-2, КС-3 №11 от 31.03.16</t>
  </si>
  <si>
    <t>КС-2, КС-3 №12 от 31.03.16</t>
  </si>
  <si>
    <t>КС-2, КС-3 №13 от 31.03.16</t>
  </si>
  <si>
    <t>КС-2, КС-3 №14 от 06.05.16</t>
  </si>
  <si>
    <t>КС-2, КС-3 №15 от 06.05.16</t>
  </si>
  <si>
    <t>КС-2, КС-3 №16 от 06.05.16</t>
  </si>
  <si>
    <t>КС-2, КС-3 №17 от 06.05.16</t>
  </si>
  <si>
    <t>КС-2, КС-3 №18 от 06.05.16</t>
  </si>
  <si>
    <t>КС-2, КС-3 №19 от 06.05.16</t>
  </si>
  <si>
    <t>КС-2, КС-3 №20 от 06.05.16</t>
  </si>
  <si>
    <t>КС-2, КС-3 №21 от 06.05.16</t>
  </si>
  <si>
    <t>КС-2, КС-3 №22 от 06.05.16</t>
  </si>
  <si>
    <t>КС-2, КС-3 №23 от 06.05.16</t>
  </si>
  <si>
    <t>КС-2, КС-3 №24 от 06.05.16</t>
  </si>
  <si>
    <t>КС-2, КС-3 №25 от 31.05.16</t>
  </si>
  <si>
    <t>Давальческие материалы ООО "Производственная фирма "СТИС" (апрель)</t>
  </si>
  <si>
    <t>№7482 от 31.10.2016</t>
  </si>
  <si>
    <t>Отчет агента за сентябрь</t>
  </si>
  <si>
    <t>№949 от 26.02.2016</t>
  </si>
  <si>
    <t>ФАУ "ФЦЦС"</t>
  </si>
  <si>
    <t>239/15 от 24.06.15</t>
  </si>
  <si>
    <t>Акт от 24.10.2016</t>
  </si>
  <si>
    <t>МКУ "ГДДХ и Б"</t>
  </si>
  <si>
    <t>122/16 от 03.03.16</t>
  </si>
  <si>
    <t>№1240 от 22.03.2016</t>
  </si>
  <si>
    <t>Акт сдачи-приемки 04.03.16</t>
  </si>
  <si>
    <t>428/16 от 19.09.16</t>
  </si>
  <si>
    <t>№7587 от 03.11.2016</t>
  </si>
  <si>
    <t>№8013 от 11.11.2016</t>
  </si>
  <si>
    <t>№8014 от 11.11.2016</t>
  </si>
  <si>
    <t>№8226 от 18.11.2016</t>
  </si>
  <si>
    <t>№8227 от 18.11.2016</t>
  </si>
  <si>
    <t>№8874 от 30.11.2016</t>
  </si>
  <si>
    <t>№8545 от 28.11.2016</t>
  </si>
  <si>
    <t>№8338 от 25.11.2016</t>
  </si>
  <si>
    <t>Давальческие материалы ООО "Производственная фирма "СТИС" (май)</t>
  </si>
  <si>
    <t>Сторно материалы (август)</t>
  </si>
  <si>
    <t>Кор. зап. 05.08.2016</t>
  </si>
  <si>
    <t>ООО "Производственная фирма "СТИС"</t>
  </si>
  <si>
    <t>430/16 от 20.09.2016</t>
  </si>
  <si>
    <t>КС-2, КС-3 №1 от 14.12.16</t>
  </si>
  <si>
    <t>КС-2, КС-3 №2 от 23.12.16</t>
  </si>
  <si>
    <t>Давальческие материалы ООО "Производственная фирма "СТИС" (декабрь)</t>
  </si>
  <si>
    <t>ПИР, СМР. Строительство канализационных сетей и сооружений в микрорайоне Никольское</t>
  </si>
  <si>
    <t>№950 от 26.02.2016</t>
  </si>
  <si>
    <t>79/16 от 19.02.16</t>
  </si>
  <si>
    <t>№6701 от 10.10.2016</t>
  </si>
  <si>
    <t>Акт от 23.08.2016</t>
  </si>
  <si>
    <t>Акт от 16.09.2016</t>
  </si>
  <si>
    <t>Акт от 15.11.2016</t>
  </si>
  <si>
    <t>МКП "УПРАВЛЕНИЕ ГЛАВНОГО АРХИТЕКТОРА"</t>
  </si>
  <si>
    <t>549/16 от 09.11.16</t>
  </si>
  <si>
    <t>8228 от 18.11.2016</t>
  </si>
  <si>
    <t>ООО "НОВЫЙ ПРОЕКТ"</t>
  </si>
  <si>
    <t>487/16 от 04.10.16</t>
  </si>
  <si>
    <t>Акт №99/2016-РВК от 26.12.2016</t>
  </si>
  <si>
    <t>Отчет агента за октябрь</t>
  </si>
  <si>
    <t>СтройПроектЭкспертСервис</t>
  </si>
  <si>
    <t>625/16 от 13.12.16</t>
  </si>
  <si>
    <t>№9591 от 29.12.2016</t>
  </si>
  <si>
    <t>ПИР, СМР. Реконструкция канализационных линий, подводящих сточные воды к КНС-5</t>
  </si>
  <si>
    <t>ООО "ТЕХНОЛОГИИ XXI ВЕК"</t>
  </si>
  <si>
    <t>346/16 от 27.07.16, д/с №616/16 от 27.07.16</t>
  </si>
  <si>
    <t xml:space="preserve">№6702 от 10.10.2016 </t>
  </si>
  <si>
    <t>КС-2, КС-3 №1 от 29.08.2016</t>
  </si>
  <si>
    <t>№9367 от 20.12.2016</t>
  </si>
  <si>
    <t>КС-2, КС-3 №2 от 25.10.2016</t>
  </si>
  <si>
    <t>КС-2, КС-3 №3 от 24.11.2016</t>
  </si>
  <si>
    <t>КС-2, КС-3 №4 от 19.12.2016</t>
  </si>
  <si>
    <t>КС-2, КС-3 №5 от 23.12.2016</t>
  </si>
  <si>
    <t>КС-2, КС-3 №6 от 23.12.2016</t>
  </si>
  <si>
    <t>ООО "Фортуна" (ООО "Технологии XX1 век")</t>
  </si>
  <si>
    <t>Договор уступки прав по дог.подряда 346/16</t>
  </si>
  <si>
    <t>№9568 от 29.12.2016</t>
  </si>
  <si>
    <t>Давальческие материалы ООО "ТЕХНОЛОГИИ XXI ВЕК" (август)</t>
  </si>
  <si>
    <t>Давальческие материалы ООО "ТЕХНОЛОГИИ XXI ВЕК"  (октябрь)</t>
  </si>
  <si>
    <t>Давальческие материалы ООО "ТЕХНОЛОГИИ XXI ВЕК"  (ноябрь)</t>
  </si>
  <si>
    <t>Давальческие материалы ООО "ТЕХНОЛОГИИ XXI ВЕК"  (декабрь)</t>
  </si>
  <si>
    <t>ООО "Иммид"</t>
  </si>
  <si>
    <t>333/16 от 20.07.16</t>
  </si>
  <si>
    <t xml:space="preserve">№5803 от 01.09.2016 </t>
  </si>
  <si>
    <t>№5733 от 31.08.2016</t>
  </si>
  <si>
    <t>ЯФАР РУС ООО</t>
  </si>
  <si>
    <t>335/16 от 20.07.2016</t>
  </si>
  <si>
    <t xml:space="preserve">№965021 от 30.09.2016 </t>
  </si>
  <si>
    <t xml:space="preserve">ПИР, СМР. Реконструкция канализационной линии по ул. Дубровина Д=250-450мм протяжённостью L=1700 п.м. </t>
  </si>
  <si>
    <t xml:space="preserve">365/16 от 08.08.16 </t>
  </si>
  <si>
    <t xml:space="preserve">ПИР, СМР. Реконструкция канализационных линий от многоквартирных домов, расположенных по пр. Труда №73-87 с подключением к муниципальным сетям </t>
  </si>
  <si>
    <t>№6559 от 03.10.2016</t>
  </si>
  <si>
    <t>364/16 от 08.08.16</t>
  </si>
  <si>
    <t>ПИР, СМР. Водоотведение школы на 600 мест, расположенной по адресу Московский пр., 142у</t>
  </si>
  <si>
    <t>№951 от 26.02.2016</t>
  </si>
  <si>
    <t xml:space="preserve">№666/15 от 27.11.15 </t>
  </si>
  <si>
    <t>№940 от 26.02.2016</t>
  </si>
  <si>
    <t>№939 от 26.02.2016</t>
  </si>
  <si>
    <t>№941 от 26.02.2016</t>
  </si>
  <si>
    <t>№997 от 01.03.2016</t>
  </si>
  <si>
    <t>№998 от 01.03.2016</t>
  </si>
  <si>
    <t>Реконструкция участка канализационных сетей п. Первого мая</t>
  </si>
  <si>
    <t>ООО "ГРАЖДАНСТРОЙ"</t>
  </si>
  <si>
    <t>661/16 от 20.12.16</t>
  </si>
  <si>
    <t>Отчет агента за декабрь</t>
  </si>
  <si>
    <t>Строительство Сочинского коллектора</t>
  </si>
  <si>
    <t>ООО "ТЕХНОЛОГИИ 21 ВЕК"</t>
  </si>
  <si>
    <t>540/16 от 03.11.2016</t>
  </si>
  <si>
    <t>КС-2, КС-3 №1 от 30.12.2016  (часть)</t>
  </si>
  <si>
    <t>ПИР, СМР. Реконструкция КНС-9 (инв. №10000462) с заменой оборудования</t>
  </si>
  <si>
    <t>ООО "Строительные технологии</t>
  </si>
  <si>
    <t>562/16 от 17.11.2016</t>
  </si>
  <si>
    <t>КС-2, КС-3 №3 от 30.11.2016</t>
  </si>
  <si>
    <t>КС-2, КС-3 №1 от 30.11.2016</t>
  </si>
  <si>
    <t>КС-2, КС-3 №2 от 23.12..2016</t>
  </si>
  <si>
    <t>ПИР, СМР. Реконструкция КНС-6 (инв. №10000384) с заменой оборудования</t>
  </si>
  <si>
    <t>ООО "Строительные технологии"</t>
  </si>
  <si>
    <t>563/16 от 17.11.2016</t>
  </si>
  <si>
    <t>КС-2, КС-3 №1 от 23.12..2016</t>
  </si>
  <si>
    <t>ПИР, СМР. Реконструкция КНС-8 (инв. №10000386) с заменой оборудования</t>
  </si>
  <si>
    <t xml:space="preserve">451/16 от 30.09.16 </t>
  </si>
  <si>
    <t>№8546 от 28.11.2016</t>
  </si>
  <si>
    <t>КС-2, КС-3 №1 от 30.09.2016</t>
  </si>
  <si>
    <t>№8547 от 28.11.2016</t>
  </si>
  <si>
    <t>КС-2, КС-3 №2 от 30.09.2016</t>
  </si>
  <si>
    <t>212/16 от 20.05.16, д/с № 1/672/16 от 22.12.2016</t>
  </si>
  <si>
    <t>№2572 от 20.05.2016</t>
  </si>
  <si>
    <t>КС-2, КС-3 №2 от 22.12.2016</t>
  </si>
  <si>
    <t>№6474 от 27.09.2016</t>
  </si>
  <si>
    <t>КС-2, КС-3 12 от 26.07.2016</t>
  </si>
  <si>
    <t>550/16 от 09.11.2016</t>
  </si>
  <si>
    <t>ПИР. Реконструкция ГКНС (инв. №10000470) с заменой оборудования</t>
  </si>
  <si>
    <t>Воронежский ГАСУ</t>
  </si>
  <si>
    <t>461/15 от 09.10.15</t>
  </si>
  <si>
    <t xml:space="preserve">№6219 от 21.09.2016 </t>
  </si>
  <si>
    <t>Акт от 25.07.2016</t>
  </si>
  <si>
    <t>Создание гидравлической модели работы системы водоотведения</t>
  </si>
  <si>
    <t>ООО НПП "КОМПЬЮТЕРНЫЕ ТЕХНОЛОГИИ"</t>
  </si>
  <si>
    <t>337/16 от 21.07.16</t>
  </si>
  <si>
    <t>Акт от 03.10.16</t>
  </si>
  <si>
    <t>Акт от 07.12.16</t>
  </si>
  <si>
    <t>Автоматизация КНС (монтаж шкафов автоматизации на 25 КНС)</t>
  </si>
  <si>
    <t>412/15 от 28.09.2015</t>
  </si>
  <si>
    <t>Создание системы охранной сигнализации объектов ул. Солнечная 6, пр. Патриотов 34а, ул. Ленинградская 58в</t>
  </si>
  <si>
    <t>ООО "Комплекс систем безопасности"</t>
  </si>
  <si>
    <t>770/14 от 11.12.14</t>
  </si>
  <si>
    <t>170/16 от 15.04.16</t>
  </si>
  <si>
    <t>№2532 от 19.05.2016</t>
  </si>
  <si>
    <t>КС-2, КС-3 №1 от 22.04.16</t>
  </si>
  <si>
    <t xml:space="preserve">Создание системы охраны периметра ПОС </t>
  </si>
  <si>
    <t>ООО "Завод Полипром"</t>
  </si>
  <si>
    <t>747/15 от 29.12.2015</t>
  </si>
  <si>
    <t>№1658 от 11.04.2016</t>
  </si>
  <si>
    <t>КС-2, КС-3 №1 от 01.03.16</t>
  </si>
  <si>
    <t xml:space="preserve">Создание системы охраны периметра ГКНС, РКНС </t>
  </si>
  <si>
    <t>565/16 от 21.11.2016</t>
  </si>
  <si>
    <t>№8548 от 28.11.2016</t>
  </si>
  <si>
    <t>КС-2, КС-3 №1 от 23.12.16 ГКНС</t>
  </si>
  <si>
    <t>КС-2, КС-3 №1 от 23.12.16 РКНС</t>
  </si>
  <si>
    <t>ИТОГО по ВОДООТВЕДЕНИЮ</t>
  </si>
  <si>
    <t>Расходы заказчика-застройщика по водоотведению</t>
  </si>
  <si>
    <t>ИТОГО по ВОДООТВЕДЕНИЮ, в т.ч. Расходы заказчика-застройщика</t>
  </si>
  <si>
    <t>ВСЕГО по ВОДОСНАБЖЕНИЮ и ВОДООТВЕДЕНИЮ, в т.ч. Расходы заказчика-застройщика</t>
  </si>
  <si>
    <t>2016 год</t>
  </si>
  <si>
    <t>Справочно</t>
  </si>
  <si>
    <t>Структура финансовых потоков по инвестиционной программе (ИП), тыс.руб.</t>
  </si>
  <si>
    <t>Показатель</t>
  </si>
  <si>
    <t>Начисление</t>
  </si>
  <si>
    <t>Оплата</t>
  </si>
  <si>
    <t>Выполнение / Финансирование мероприятий ИП, с НДС в ценах соответствующих лет с учетом накладных расходов</t>
  </si>
  <si>
    <t>Финансирование ИП за счет кредитов</t>
  </si>
  <si>
    <t>Погашение кредитов</t>
  </si>
  <si>
    <t>Бюджетное финансирование работ в рамках ИП (субсидии)</t>
  </si>
  <si>
    <t>Расходы на обслуживание кредитов с НДС, в т.ч.</t>
  </si>
  <si>
    <t xml:space="preserve">- банковская гарантия </t>
  </si>
  <si>
    <t>- расходы на %% по кредитам</t>
  </si>
  <si>
    <t>103 909,11</t>
  </si>
  <si>
    <t>- прочее</t>
  </si>
  <si>
    <t>Выручка по ВиВ в части инвест. составляющей с НДС /</t>
  </si>
  <si>
    <t>Поступление выручки по ВиВ в части инвест. составляющей с НДС за вычетом резерва по дебиторской задолженности</t>
  </si>
  <si>
    <t>Обязательство по налогу на прибыль (расчетно по ИП)</t>
  </si>
  <si>
    <t>НДС итого (обязательство по уплате в бюджет (+) / к возмещению из бюджета (-)), в т. ч.</t>
  </si>
  <si>
    <t>Возмещение НДС с расходов по инвестиционным мероприятиям</t>
  </si>
  <si>
    <t>НДС к уплате (расчетный)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</si>
</sst>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"/>
    <numFmt numFmtId="165" formatCode="0.000"/>
    <numFmt numFmtId="166" formatCode="#,##0.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2"/>
      <color theme="3" tint="0.39997558519241921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7" tint="-0.249977111117893"/>
      <name val="Arial"/>
      <family val="2"/>
      <charset val="204"/>
    </font>
    <font>
      <sz val="12"/>
      <color rgb="FFC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0" fontId="12" fillId="0" borderId="0"/>
    <xf numFmtId="0" fontId="22" fillId="0" borderId="0"/>
    <xf numFmtId="0" fontId="21" fillId="0" borderId="0"/>
    <xf numFmtId="0" fontId="2" fillId="0" borderId="0"/>
    <xf numFmtId="0" fontId="23" fillId="0" borderId="0"/>
  </cellStyleXfs>
  <cellXfs count="236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3" fillId="0" borderId="0" xfId="1" applyFont="1"/>
    <xf numFmtId="0" fontId="1" fillId="0" borderId="0" xfId="1"/>
    <xf numFmtId="0" fontId="7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164" fontId="8" fillId="0" borderId="19" xfId="1" applyNumberFormat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164" fontId="8" fillId="0" borderId="20" xfId="1" applyNumberFormat="1" applyFont="1" applyFill="1" applyBorder="1" applyAlignment="1">
      <alignment horizontal="center" vertical="center" wrapText="1"/>
    </xf>
    <xf numFmtId="164" fontId="8" fillId="0" borderId="22" xfId="1" applyNumberFormat="1" applyFont="1" applyFill="1" applyBorder="1" applyAlignment="1">
      <alignment vertical="center" wrapText="1"/>
    </xf>
    <xf numFmtId="164" fontId="8" fillId="0" borderId="23" xfId="1" applyNumberFormat="1" applyFont="1" applyFill="1" applyBorder="1" applyAlignment="1">
      <alignment horizontal="center" vertical="center" wrapText="1"/>
    </xf>
    <xf numFmtId="164" fontId="8" fillId="0" borderId="24" xfId="1" applyNumberFormat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164" fontId="8" fillId="0" borderId="21" xfId="1" applyNumberFormat="1" applyFont="1" applyFill="1" applyBorder="1" applyAlignment="1">
      <alignment horizontal="center" vertical="center" wrapText="1"/>
    </xf>
    <xf numFmtId="165" fontId="8" fillId="0" borderId="19" xfId="1" applyNumberFormat="1" applyFont="1" applyFill="1" applyBorder="1" applyAlignment="1">
      <alignment horizontal="center" vertical="center" wrapText="1"/>
    </xf>
    <xf numFmtId="164" fontId="8" fillId="0" borderId="27" xfId="1" applyNumberFormat="1" applyFont="1" applyFill="1" applyBorder="1" applyAlignment="1">
      <alignment horizontal="center" vertical="center" wrapText="1"/>
    </xf>
    <xf numFmtId="165" fontId="8" fillId="0" borderId="20" xfId="1" applyNumberFormat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164" fontId="9" fillId="0" borderId="20" xfId="1" applyNumberFormat="1" applyFont="1" applyFill="1" applyBorder="1" applyAlignment="1">
      <alignment horizontal="center" vertical="center" wrapText="1"/>
    </xf>
    <xf numFmtId="164" fontId="9" fillId="0" borderId="21" xfId="1" applyNumberFormat="1" applyFont="1" applyFill="1" applyBorder="1" applyAlignment="1">
      <alignment horizontal="center" vertical="center" wrapText="1"/>
    </xf>
    <xf numFmtId="164" fontId="9" fillId="0" borderId="19" xfId="1" applyNumberFormat="1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164" fontId="8" fillId="0" borderId="32" xfId="1" applyNumberFormat="1" applyFont="1" applyFill="1" applyBorder="1" applyAlignment="1">
      <alignment horizontal="center" vertical="center" wrapText="1"/>
    </xf>
    <xf numFmtId="164" fontId="8" fillId="0" borderId="34" xfId="1" applyNumberFormat="1" applyFont="1" applyFill="1" applyBorder="1" applyAlignment="1">
      <alignment horizontal="center" vertical="center" wrapText="1"/>
    </xf>
    <xf numFmtId="164" fontId="8" fillId="0" borderId="18" xfId="1" applyNumberFormat="1" applyFont="1" applyFill="1" applyBorder="1" applyAlignment="1">
      <alignment horizontal="center" vertical="center" wrapText="1"/>
    </xf>
    <xf numFmtId="165" fontId="8" fillId="0" borderId="24" xfId="1" applyNumberFormat="1" applyFont="1" applyFill="1" applyBorder="1" applyAlignment="1">
      <alignment horizontal="center" vertical="center" wrapText="1"/>
    </xf>
    <xf numFmtId="165" fontId="8" fillId="0" borderId="27" xfId="1" applyNumberFormat="1" applyFont="1" applyFill="1" applyBorder="1" applyAlignment="1">
      <alignment horizontal="center" vertical="center" wrapText="1"/>
    </xf>
    <xf numFmtId="165" fontId="8" fillId="0" borderId="21" xfId="1" applyNumberFormat="1" applyFont="1" applyFill="1" applyBorder="1" applyAlignment="1">
      <alignment horizontal="center" vertical="center" wrapText="1"/>
    </xf>
    <xf numFmtId="164" fontId="10" fillId="0" borderId="19" xfId="1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38" xfId="1" applyNumberFormat="1" applyFont="1" applyFill="1" applyBorder="1" applyAlignment="1">
      <alignment horizontal="center" vertical="center" wrapText="1"/>
    </xf>
    <xf numFmtId="164" fontId="10" fillId="0" borderId="32" xfId="1" applyNumberFormat="1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164" fontId="10" fillId="0" borderId="7" xfId="1" applyNumberFormat="1" applyFont="1" applyFill="1" applyBorder="1" applyAlignment="1">
      <alignment horizontal="center" vertical="center" wrapText="1"/>
    </xf>
    <xf numFmtId="164" fontId="8" fillId="0" borderId="10" xfId="1" applyNumberFormat="1" applyFont="1" applyFill="1" applyBorder="1" applyAlignment="1">
      <alignment horizontal="center" vertical="center" wrapText="1"/>
    </xf>
    <xf numFmtId="164" fontId="10" fillId="0" borderId="20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5" fontId="8" fillId="0" borderId="32" xfId="1" applyNumberFormat="1" applyFont="1" applyFill="1" applyBorder="1" applyAlignment="1">
      <alignment horizontal="center" vertical="center" wrapText="1"/>
    </xf>
    <xf numFmtId="165" fontId="8" fillId="0" borderId="34" xfId="1" applyNumberFormat="1" applyFont="1" applyFill="1" applyBorder="1" applyAlignment="1">
      <alignment horizontal="center" vertical="center" wrapText="1"/>
    </xf>
    <xf numFmtId="164" fontId="8" fillId="0" borderId="37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64" fontId="8" fillId="0" borderId="41" xfId="1" applyNumberFormat="1" applyFont="1" applyFill="1" applyBorder="1" applyAlignment="1">
      <alignment horizontal="center" vertical="center" wrapText="1"/>
    </xf>
    <xf numFmtId="165" fontId="9" fillId="0" borderId="24" xfId="1" applyNumberFormat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164" fontId="8" fillId="0" borderId="30" xfId="1" applyNumberFormat="1" applyFont="1" applyFill="1" applyBorder="1" applyAlignment="1">
      <alignment horizontal="center" vertical="center" wrapText="1"/>
    </xf>
    <xf numFmtId="164" fontId="8" fillId="0" borderId="22" xfId="1" applyNumberFormat="1" applyFont="1" applyFill="1" applyBorder="1" applyAlignment="1">
      <alignment horizontal="center" vertical="center" wrapText="1"/>
    </xf>
    <xf numFmtId="164" fontId="9" fillId="0" borderId="22" xfId="1" applyNumberFormat="1" applyFont="1" applyFill="1" applyBorder="1" applyAlignment="1">
      <alignment horizontal="center" vertical="center" wrapText="1"/>
    </xf>
    <xf numFmtId="165" fontId="8" fillId="0" borderId="22" xfId="1" applyNumberFormat="1" applyFont="1" applyFill="1" applyBorder="1" applyAlignment="1">
      <alignment horizontal="center" vertical="center" wrapText="1"/>
    </xf>
    <xf numFmtId="165" fontId="9" fillId="0" borderId="23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9" fillId="0" borderId="10" xfId="1" applyNumberFormat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164" fontId="8" fillId="0" borderId="36" xfId="1" applyNumberFormat="1" applyFont="1" applyFill="1" applyBorder="1" applyAlignment="1">
      <alignment horizontal="center" vertical="center" wrapText="1"/>
    </xf>
    <xf numFmtId="165" fontId="8" fillId="0" borderId="47" xfId="1" applyNumberFormat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164" fontId="8" fillId="0" borderId="48" xfId="1" applyNumberFormat="1" applyFont="1" applyFill="1" applyBorder="1" applyAlignment="1">
      <alignment horizontal="center" vertical="center" wrapText="1"/>
    </xf>
    <xf numFmtId="164" fontId="8" fillId="0" borderId="49" xfId="1" applyNumberFormat="1" applyFont="1" applyFill="1" applyBorder="1" applyAlignment="1">
      <alignment horizontal="center" vertical="center" wrapText="1"/>
    </xf>
    <xf numFmtId="165" fontId="8" fillId="0" borderId="48" xfId="1" applyNumberFormat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164" fontId="8" fillId="0" borderId="25" xfId="1" applyNumberFormat="1" applyFont="1" applyFill="1" applyBorder="1" applyAlignment="1">
      <alignment horizontal="center" vertical="center" wrapText="1"/>
    </xf>
    <xf numFmtId="17" fontId="8" fillId="0" borderId="32" xfId="1" applyNumberFormat="1" applyFont="1" applyFill="1" applyBorder="1" applyAlignment="1">
      <alignment horizontal="center" vertical="center" wrapText="1"/>
    </xf>
    <xf numFmtId="17" fontId="8" fillId="0" borderId="8" xfId="1" applyNumberFormat="1" applyFont="1" applyFill="1" applyBorder="1" applyAlignment="1">
      <alignment horizontal="center" vertical="center" wrapText="1"/>
    </xf>
    <xf numFmtId="164" fontId="8" fillId="0" borderId="38" xfId="1" applyNumberFormat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164" fontId="5" fillId="0" borderId="48" xfId="1" applyNumberFormat="1" applyFont="1" applyFill="1" applyBorder="1" applyAlignment="1">
      <alignment horizontal="center" vertical="center" wrapText="1"/>
    </xf>
    <xf numFmtId="164" fontId="5" fillId="0" borderId="52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5" fillId="0" borderId="53" xfId="1" applyFont="1" applyFill="1" applyBorder="1" applyAlignment="1">
      <alignment vertical="center" wrapText="1"/>
    </xf>
    <xf numFmtId="0" fontId="5" fillId="0" borderId="46" xfId="1" applyFont="1" applyFill="1" applyBorder="1" applyAlignment="1">
      <alignment vertical="center"/>
    </xf>
    <xf numFmtId="0" fontId="5" fillId="0" borderId="47" xfId="1" applyFont="1" applyFill="1" applyBorder="1" applyAlignment="1">
      <alignment vertical="center" wrapText="1"/>
    </xf>
    <xf numFmtId="164" fontId="8" fillId="0" borderId="54" xfId="1" applyNumberFormat="1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/>
    </xf>
    <xf numFmtId="164" fontId="8" fillId="0" borderId="19" xfId="1" applyNumberFormat="1" applyFont="1" applyFill="1" applyBorder="1" applyAlignment="1">
      <alignment vertical="center" wrapText="1"/>
    </xf>
    <xf numFmtId="0" fontId="3" fillId="0" borderId="19" xfId="1" applyFont="1" applyFill="1" applyBorder="1"/>
    <xf numFmtId="0" fontId="3" fillId="0" borderId="50" xfId="1" applyFont="1" applyFill="1" applyBorder="1"/>
    <xf numFmtId="164" fontId="8" fillId="0" borderId="24" xfId="1" applyNumberFormat="1" applyFont="1" applyFill="1" applyBorder="1" applyAlignment="1">
      <alignment vertical="center" wrapText="1"/>
    </xf>
    <xf numFmtId="164" fontId="8" fillId="0" borderId="33" xfId="1" applyNumberFormat="1" applyFont="1" applyFill="1" applyBorder="1" applyAlignment="1">
      <alignment horizontal="center" vertical="center" wrapText="1"/>
    </xf>
    <xf numFmtId="164" fontId="8" fillId="0" borderId="26" xfId="1" applyNumberFormat="1" applyFont="1" applyFill="1" applyBorder="1" applyAlignment="1">
      <alignment horizontal="center" vertical="center" wrapText="1"/>
    </xf>
    <xf numFmtId="164" fontId="8" fillId="0" borderId="55" xfId="1" applyNumberFormat="1" applyFont="1" applyFill="1" applyBorder="1" applyAlignment="1">
      <alignment horizontal="center" vertical="center" wrapText="1"/>
    </xf>
    <xf numFmtId="166" fontId="8" fillId="0" borderId="20" xfId="1" applyNumberFormat="1" applyFont="1" applyFill="1" applyBorder="1" applyAlignment="1">
      <alignment horizontal="center" vertical="center" wrapText="1"/>
    </xf>
    <xf numFmtId="166" fontId="8" fillId="0" borderId="19" xfId="1" applyNumberFormat="1" applyFont="1" applyFill="1" applyBorder="1" applyAlignment="1">
      <alignment horizontal="center" vertical="center" wrapText="1"/>
    </xf>
    <xf numFmtId="164" fontId="9" fillId="0" borderId="23" xfId="1" applyNumberFormat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165" fontId="9" fillId="0" borderId="21" xfId="1" applyNumberFormat="1" applyFont="1" applyFill="1" applyBorder="1" applyAlignment="1">
      <alignment horizontal="center" vertical="center" wrapText="1"/>
    </xf>
    <xf numFmtId="164" fontId="8" fillId="0" borderId="56" xfId="1" applyNumberFormat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164" fontId="8" fillId="0" borderId="47" xfId="1" applyNumberFormat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164" fontId="13" fillId="0" borderId="20" xfId="1" applyNumberFormat="1" applyFont="1" applyFill="1" applyBorder="1" applyAlignment="1">
      <alignment horizontal="center" vertical="center" wrapText="1"/>
    </xf>
    <xf numFmtId="164" fontId="13" fillId="0" borderId="21" xfId="1" applyNumberFormat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165" fontId="8" fillId="0" borderId="57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164" fontId="9" fillId="0" borderId="18" xfId="1" applyNumberFormat="1" applyFont="1" applyFill="1" applyBorder="1" applyAlignment="1">
      <alignment horizontal="center" vertical="center" wrapText="1"/>
    </xf>
    <xf numFmtId="165" fontId="8" fillId="0" borderId="18" xfId="1" applyNumberFormat="1" applyFont="1" applyFill="1" applyBorder="1" applyAlignment="1">
      <alignment horizontal="center" vertical="center" wrapText="1"/>
    </xf>
    <xf numFmtId="165" fontId="9" fillId="0" borderId="55" xfId="1" applyNumberFormat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165" fontId="9" fillId="0" borderId="38" xfId="1" applyNumberFormat="1" applyFont="1" applyFill="1" applyBorder="1" applyAlignment="1">
      <alignment horizontal="center" vertical="center" wrapText="1"/>
    </xf>
    <xf numFmtId="165" fontId="8" fillId="0" borderId="56" xfId="1" applyNumberFormat="1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horizontal="center" vertical="center" wrapText="1"/>
    </xf>
    <xf numFmtId="165" fontId="14" fillId="0" borderId="56" xfId="1" applyNumberFormat="1" applyFont="1" applyFill="1" applyBorder="1" applyAlignment="1">
      <alignment horizontal="center" vertical="center" wrapText="1"/>
    </xf>
    <xf numFmtId="165" fontId="8" fillId="0" borderId="54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15" xfId="1" applyNumberFormat="1" applyFont="1" applyFill="1" applyBorder="1" applyAlignment="1">
      <alignment horizontal="center" vertical="center" wrapText="1"/>
    </xf>
    <xf numFmtId="164" fontId="8" fillId="0" borderId="43" xfId="1" applyNumberFormat="1" applyFont="1" applyFill="1" applyBorder="1" applyAlignment="1">
      <alignment horizontal="center" vertical="center" wrapText="1"/>
    </xf>
    <xf numFmtId="164" fontId="8" fillId="0" borderId="15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0" fontId="16" fillId="0" borderId="0" xfId="1" applyFont="1" applyFill="1"/>
    <xf numFmtId="0" fontId="5" fillId="0" borderId="0" xfId="1" applyFont="1" applyFill="1" applyAlignment="1">
      <alignment vertical="center" wrapText="1"/>
    </xf>
    <xf numFmtId="0" fontId="16" fillId="0" borderId="0" xfId="1" applyFont="1" applyFill="1" applyAlignment="1">
      <alignment vertical="center" wrapText="1"/>
    </xf>
    <xf numFmtId="0" fontId="15" fillId="0" borderId="58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 wrapText="1"/>
    </xf>
    <xf numFmtId="0" fontId="15" fillId="0" borderId="59" xfId="1" applyFont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 wrapText="1"/>
    </xf>
    <xf numFmtId="0" fontId="17" fillId="0" borderId="59" xfId="1" applyFont="1" applyFill="1" applyBorder="1" applyAlignment="1">
      <alignment vertical="center" wrapText="1"/>
    </xf>
    <xf numFmtId="4" fontId="8" fillId="0" borderId="47" xfId="1" applyNumberFormat="1" applyFont="1" applyFill="1" applyBorder="1" applyAlignment="1">
      <alignment horizontal="right" vertical="center" wrapText="1"/>
    </xf>
    <xf numFmtId="0" fontId="18" fillId="0" borderId="59" xfId="1" applyFont="1" applyFill="1" applyBorder="1" applyAlignment="1">
      <alignment vertical="center" wrapText="1"/>
    </xf>
    <xf numFmtId="4" fontId="19" fillId="0" borderId="47" xfId="1" applyNumberFormat="1" applyFont="1" applyFill="1" applyBorder="1" applyAlignment="1">
      <alignment horizontal="right" vertical="center" wrapText="1"/>
    </xf>
    <xf numFmtId="0" fontId="19" fillId="0" borderId="47" xfId="1" applyFont="1" applyFill="1" applyBorder="1" applyAlignment="1">
      <alignment horizontal="right" vertical="center" wrapText="1"/>
    </xf>
    <xf numFmtId="0" fontId="17" fillId="0" borderId="60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horizontal="center" vertical="center" wrapText="1"/>
    </xf>
    <xf numFmtId="164" fontId="8" fillId="0" borderId="20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4" fontId="8" fillId="0" borderId="61" xfId="1" applyNumberFormat="1" applyFont="1" applyFill="1" applyBorder="1" applyAlignment="1">
      <alignment horizontal="right" vertical="center" wrapText="1"/>
    </xf>
    <xf numFmtId="4" fontId="8" fillId="0" borderId="59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164" fontId="8" fillId="0" borderId="22" xfId="1" applyNumberFormat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164" fontId="8" fillId="0" borderId="18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165" fontId="8" fillId="0" borderId="18" xfId="1" applyNumberFormat="1" applyFont="1" applyFill="1" applyBorder="1" applyAlignment="1">
      <alignment horizontal="center" vertical="center" wrapText="1"/>
    </xf>
    <xf numFmtId="165" fontId="8" fillId="0" borderId="20" xfId="1" applyNumberFormat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165" fontId="8" fillId="0" borderId="15" xfId="1" applyNumberFormat="1" applyFont="1" applyFill="1" applyBorder="1" applyAlignment="1">
      <alignment horizontal="center" vertical="center" wrapText="1"/>
    </xf>
    <xf numFmtId="165" fontId="8" fillId="0" borderId="21" xfId="1" applyNumberFormat="1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>
      <alignment horizontal="center" vertical="center" wrapText="1"/>
    </xf>
    <xf numFmtId="0" fontId="8" fillId="0" borderId="31" xfId="4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6" xfId="4" applyNumberFormat="1" applyFont="1" applyFill="1" applyBorder="1" applyAlignment="1">
      <alignment horizontal="center" vertical="center" wrapText="1"/>
    </xf>
    <xf numFmtId="165" fontId="8" fillId="0" borderId="23" xfId="1" applyNumberFormat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164" fontId="8" fillId="0" borderId="26" xfId="1" applyNumberFormat="1" applyFont="1" applyFill="1" applyBorder="1" applyAlignment="1">
      <alignment horizontal="center" vertical="center" wrapText="1"/>
    </xf>
    <xf numFmtId="164" fontId="8" fillId="0" borderId="28" xfId="1" applyNumberFormat="1" applyFont="1" applyFill="1" applyBorder="1" applyAlignment="1">
      <alignment horizontal="center" vertical="center" wrapText="1"/>
    </xf>
    <xf numFmtId="164" fontId="8" fillId="0" borderId="3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4" xfId="1" applyFont="1" applyFill="1" applyBorder="1" applyAlignment="1">
      <alignment horizontal="center" vertical="center" wrapText="1"/>
    </xf>
    <xf numFmtId="164" fontId="8" fillId="0" borderId="23" xfId="1" applyNumberFormat="1" applyFont="1" applyFill="1" applyBorder="1" applyAlignment="1">
      <alignment horizontal="center" vertical="center" wrapText="1"/>
    </xf>
    <xf numFmtId="164" fontId="8" fillId="0" borderId="2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0" fontId="8" fillId="0" borderId="45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65" fontId="8" fillId="0" borderId="26" xfId="1" applyNumberFormat="1" applyFont="1" applyFill="1" applyBorder="1" applyAlignment="1">
      <alignment horizontal="center" vertical="center" wrapText="1"/>
    </xf>
    <xf numFmtId="165" fontId="8" fillId="0" borderId="33" xfId="1" applyNumberFormat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wrapText="1"/>
    </xf>
    <xf numFmtId="164" fontId="8" fillId="0" borderId="19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15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11" fillId="0" borderId="0" xfId="1" applyFont="1" applyFill="1" applyBorder="1"/>
    <xf numFmtId="0" fontId="3" fillId="0" borderId="0" xfId="1" applyFont="1" applyBorder="1"/>
    <xf numFmtId="0" fontId="4" fillId="0" borderId="0" xfId="1" applyFont="1" applyFill="1" applyBorder="1"/>
    <xf numFmtId="164" fontId="3" fillId="0" borderId="0" xfId="1" applyNumberFormat="1" applyFont="1" applyFill="1" applyBorder="1"/>
    <xf numFmtId="0" fontId="1" fillId="0" borderId="0" xfId="1" applyFill="1" applyBorder="1"/>
    <xf numFmtId="0" fontId="1" fillId="0" borderId="0" xfId="1" applyBorder="1"/>
  </cellXfs>
  <cellStyles count="9">
    <cellStyle name="Обычный" xfId="0" builtinId="0"/>
    <cellStyle name="Обычный 2" xfId="1"/>
    <cellStyle name="Обычный 2 10" xfId="5"/>
    <cellStyle name="Обычный 2 2" xfId="2"/>
    <cellStyle name="Обычный 29" xfId="6"/>
    <cellStyle name="Обычный 3" xfId="7"/>
    <cellStyle name="Обычный 4" xfId="8"/>
    <cellStyle name="Обычный_Бизнес-план 2005 г. (РВК)1 экспериментальн 2 со 2 квартала_1" xfId="4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162D0"/>
  </sheetPr>
  <dimension ref="A1:K528"/>
  <sheetViews>
    <sheetView tabSelected="1" topLeftCell="B1" zoomScale="70" zoomScaleNormal="70" workbookViewId="0">
      <selection activeCell="G525" sqref="G525"/>
    </sheetView>
  </sheetViews>
  <sheetFormatPr defaultRowHeight="15" x14ac:dyDescent="0.25"/>
  <cols>
    <col min="1" max="1" width="9.140625" style="90"/>
    <col min="2" max="2" width="48.42578125" style="2" customWidth="1"/>
    <col min="3" max="3" width="20.85546875" style="90" customWidth="1"/>
    <col min="4" max="4" width="14.85546875" style="90" customWidth="1"/>
    <col min="5" max="5" width="17.7109375" style="90" customWidth="1"/>
    <col min="6" max="6" width="18.42578125" style="90" customWidth="1"/>
    <col min="7" max="7" width="14.5703125" style="90" customWidth="1"/>
    <col min="8" max="8" width="16.7109375" style="90" customWidth="1"/>
    <col min="9" max="9" width="19.85546875" style="90" customWidth="1"/>
    <col min="10" max="10" width="18" style="90" customWidth="1"/>
    <col min="11" max="11" width="17" style="90" customWidth="1"/>
    <col min="12" max="16384" width="9.140625" style="4"/>
  </cols>
  <sheetData>
    <row r="1" spans="1:11" x14ac:dyDescent="0.25">
      <c r="A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/>
      <c r="B2" s="214" t="s">
        <v>0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1:11" ht="15.75" x14ac:dyDescent="0.25">
      <c r="A3" s="1"/>
      <c r="B3" s="215" t="s">
        <v>1</v>
      </c>
      <c r="C3" s="215"/>
      <c r="D3" s="215"/>
      <c r="E3" s="215"/>
      <c r="F3" s="215"/>
      <c r="G3" s="215"/>
      <c r="H3" s="215"/>
      <c r="I3" s="215"/>
      <c r="J3" s="215"/>
      <c r="K3" s="215"/>
    </row>
    <row r="4" spans="1:11" ht="15.75" x14ac:dyDescent="0.25">
      <c r="A4" s="1"/>
      <c r="B4" s="216" t="s">
        <v>2</v>
      </c>
      <c r="C4" s="216"/>
      <c r="D4" s="216"/>
      <c r="E4" s="216"/>
      <c r="F4" s="216"/>
      <c r="G4" s="216"/>
      <c r="H4" s="216"/>
      <c r="I4" s="216"/>
      <c r="J4" s="216"/>
      <c r="K4" s="216"/>
    </row>
    <row r="5" spans="1:11" ht="16.5" thickBot="1" x14ac:dyDescent="0.3">
      <c r="A5" s="1"/>
      <c r="B5" s="5"/>
      <c r="C5" s="6"/>
      <c r="D5" s="6"/>
      <c r="E5" s="6"/>
      <c r="F5" s="6"/>
      <c r="G5" s="6"/>
      <c r="H5" s="6"/>
      <c r="I5" s="6"/>
      <c r="J5" s="6"/>
      <c r="K5" s="6"/>
    </row>
    <row r="6" spans="1:11" ht="15.75" x14ac:dyDescent="0.25">
      <c r="A6" s="1"/>
      <c r="B6" s="217" t="s">
        <v>3</v>
      </c>
      <c r="C6" s="219" t="s">
        <v>4</v>
      </c>
      <c r="D6" s="220"/>
      <c r="E6" s="221" t="s">
        <v>5</v>
      </c>
      <c r="F6" s="221" t="s">
        <v>6</v>
      </c>
      <c r="G6" s="223" t="s">
        <v>7</v>
      </c>
      <c r="H6" s="224"/>
      <c r="I6" s="225" t="s">
        <v>8</v>
      </c>
      <c r="J6" s="227" t="s">
        <v>9</v>
      </c>
      <c r="K6" s="228"/>
    </row>
    <row r="7" spans="1:11" ht="32.25" thickBot="1" x14ac:dyDescent="0.3">
      <c r="A7" s="1"/>
      <c r="B7" s="218"/>
      <c r="C7" s="7" t="s">
        <v>10</v>
      </c>
      <c r="D7" s="7" t="s">
        <v>11</v>
      </c>
      <c r="E7" s="222"/>
      <c r="F7" s="222"/>
      <c r="G7" s="8" t="s">
        <v>12</v>
      </c>
      <c r="H7" s="9" t="s">
        <v>13</v>
      </c>
      <c r="I7" s="226"/>
      <c r="J7" s="8" t="s">
        <v>12</v>
      </c>
      <c r="K7" s="10" t="s">
        <v>13</v>
      </c>
    </row>
    <row r="8" spans="1:11" ht="16.5" thickBot="1" x14ac:dyDescent="0.3">
      <c r="A8" s="1"/>
      <c r="B8" s="207" t="s">
        <v>14</v>
      </c>
      <c r="C8" s="208"/>
      <c r="D8" s="208"/>
      <c r="E8" s="208"/>
      <c r="F8" s="208"/>
      <c r="G8" s="208"/>
      <c r="H8" s="208"/>
      <c r="I8" s="208"/>
      <c r="J8" s="208"/>
      <c r="K8" s="209"/>
    </row>
    <row r="9" spans="1:11" ht="30.75" customHeight="1" x14ac:dyDescent="0.25">
      <c r="A9" s="1"/>
      <c r="B9" s="210" t="s">
        <v>15</v>
      </c>
      <c r="C9" s="212" t="s">
        <v>16</v>
      </c>
      <c r="D9" s="159" t="s">
        <v>17</v>
      </c>
      <c r="E9" s="151">
        <f>13830581/1000</f>
        <v>13830.581</v>
      </c>
      <c r="F9" s="151">
        <f>H9+H10+H11+H12+H13</f>
        <v>5933.3467499999997</v>
      </c>
      <c r="G9" s="11" t="s">
        <v>18</v>
      </c>
      <c r="H9" s="12">
        <f>3883661.86/1000</f>
        <v>3883.6618599999997</v>
      </c>
      <c r="I9" s="151">
        <f>K9+K11+K12</f>
        <v>2049.6848862000002</v>
      </c>
      <c r="J9" s="151" t="s">
        <v>19</v>
      </c>
      <c r="K9" s="213">
        <v>2049.6848862000002</v>
      </c>
    </row>
    <row r="10" spans="1:11" ht="30.75" customHeight="1" x14ac:dyDescent="0.25">
      <c r="A10" s="1"/>
      <c r="B10" s="211"/>
      <c r="C10" s="184"/>
      <c r="D10" s="170"/>
      <c r="E10" s="171"/>
      <c r="F10" s="171"/>
      <c r="G10" s="13" t="s">
        <v>20</v>
      </c>
      <c r="H10" s="14">
        <f>2049684.89/1000</f>
        <v>2049.68489</v>
      </c>
      <c r="I10" s="171"/>
      <c r="J10" s="152"/>
      <c r="K10" s="197"/>
    </row>
    <row r="11" spans="1:11" hidden="1" x14ac:dyDescent="0.25">
      <c r="A11" s="1"/>
      <c r="B11" s="211"/>
      <c r="C11" s="184"/>
      <c r="D11" s="170"/>
      <c r="E11" s="171"/>
      <c r="F11" s="171"/>
      <c r="G11" s="15"/>
      <c r="H11" s="16"/>
      <c r="I11" s="171"/>
      <c r="J11" s="17"/>
      <c r="K11" s="18"/>
    </row>
    <row r="12" spans="1:11" hidden="1" x14ac:dyDescent="0.25">
      <c r="A12" s="1"/>
      <c r="B12" s="211"/>
      <c r="C12" s="184"/>
      <c r="D12" s="170"/>
      <c r="E12" s="171"/>
      <c r="F12" s="171"/>
      <c r="G12" s="15"/>
      <c r="H12" s="16"/>
      <c r="I12" s="171"/>
      <c r="J12" s="14"/>
      <c r="K12" s="19"/>
    </row>
    <row r="13" spans="1:11" hidden="1" x14ac:dyDescent="0.25">
      <c r="A13" s="1"/>
      <c r="B13" s="211"/>
      <c r="C13" s="163"/>
      <c r="D13" s="160"/>
      <c r="E13" s="152"/>
      <c r="F13" s="152"/>
      <c r="G13" s="15"/>
      <c r="H13" s="16"/>
      <c r="I13" s="152"/>
      <c r="J13" s="15"/>
      <c r="K13" s="20"/>
    </row>
    <row r="14" spans="1:11" ht="30.75" customHeight="1" x14ac:dyDescent="0.25">
      <c r="A14" s="1"/>
      <c r="B14" s="211"/>
      <c r="C14" s="175" t="s">
        <v>21</v>
      </c>
      <c r="D14" s="176" t="s">
        <v>22</v>
      </c>
      <c r="E14" s="166" t="s">
        <v>23</v>
      </c>
      <c r="F14" s="206">
        <f>H14+H15+H16+H17+H18+H19</f>
        <v>128.636</v>
      </c>
      <c r="G14" s="15" t="s">
        <v>24</v>
      </c>
      <c r="H14" s="16">
        <f>128636/1000</f>
        <v>128.636</v>
      </c>
      <c r="I14" s="166" t="s">
        <v>25</v>
      </c>
      <c r="J14" s="21" t="s">
        <v>25</v>
      </c>
      <c r="K14" s="21" t="s">
        <v>25</v>
      </c>
    </row>
    <row r="15" spans="1:11" hidden="1" x14ac:dyDescent="0.25">
      <c r="A15" s="1"/>
      <c r="B15" s="211"/>
      <c r="C15" s="175"/>
      <c r="D15" s="177"/>
      <c r="E15" s="171"/>
      <c r="F15" s="206"/>
      <c r="G15" s="15"/>
      <c r="H15" s="16"/>
      <c r="I15" s="171"/>
      <c r="J15" s="16"/>
      <c r="K15" s="22"/>
    </row>
    <row r="16" spans="1:11" hidden="1" x14ac:dyDescent="0.25">
      <c r="A16" s="1"/>
      <c r="B16" s="211"/>
      <c r="C16" s="175"/>
      <c r="D16" s="177"/>
      <c r="E16" s="171"/>
      <c r="F16" s="206"/>
      <c r="G16" s="15"/>
      <c r="H16" s="16"/>
      <c r="I16" s="171"/>
      <c r="J16" s="16"/>
      <c r="K16" s="22"/>
    </row>
    <row r="17" spans="1:11" hidden="1" x14ac:dyDescent="0.25">
      <c r="A17" s="1"/>
      <c r="B17" s="211"/>
      <c r="C17" s="175"/>
      <c r="D17" s="177"/>
      <c r="E17" s="171"/>
      <c r="F17" s="206"/>
      <c r="G17" s="15"/>
      <c r="H17" s="16"/>
      <c r="I17" s="171"/>
      <c r="J17" s="16"/>
      <c r="K17" s="22"/>
    </row>
    <row r="18" spans="1:11" hidden="1" x14ac:dyDescent="0.25">
      <c r="A18" s="1"/>
      <c r="B18" s="211"/>
      <c r="C18" s="175"/>
      <c r="D18" s="177"/>
      <c r="E18" s="171"/>
      <c r="F18" s="206"/>
      <c r="G18" s="13"/>
      <c r="H18" s="23"/>
      <c r="I18" s="171"/>
      <c r="J18" s="16"/>
      <c r="K18" s="22"/>
    </row>
    <row r="19" spans="1:11" hidden="1" x14ac:dyDescent="0.25">
      <c r="A19" s="1"/>
      <c r="B19" s="211"/>
      <c r="C19" s="175"/>
      <c r="D19" s="177"/>
      <c r="E19" s="171"/>
      <c r="F19" s="206"/>
      <c r="G19" s="13"/>
      <c r="H19" s="23"/>
      <c r="I19" s="171"/>
      <c r="J19" s="16"/>
      <c r="K19" s="22"/>
    </row>
    <row r="20" spans="1:11" hidden="1" x14ac:dyDescent="0.25">
      <c r="A20" s="1"/>
      <c r="B20" s="211"/>
      <c r="C20" s="175"/>
      <c r="D20" s="177"/>
      <c r="E20" s="171"/>
      <c r="F20" s="206"/>
      <c r="G20" s="15"/>
      <c r="H20" s="15"/>
      <c r="I20" s="171"/>
      <c r="J20" s="16"/>
      <c r="K20" s="22"/>
    </row>
    <row r="21" spans="1:11" ht="41.25" hidden="1" customHeight="1" x14ac:dyDescent="0.25">
      <c r="A21" s="1"/>
      <c r="B21" s="211"/>
      <c r="C21" s="13" t="s">
        <v>26</v>
      </c>
      <c r="D21" s="13" t="s">
        <v>27</v>
      </c>
      <c r="E21" s="13" t="s">
        <v>25</v>
      </c>
      <c r="F21" s="16">
        <f t="shared" ref="F21:F38" si="0">H21</f>
        <v>0</v>
      </c>
      <c r="G21" s="14"/>
      <c r="H21" s="14"/>
      <c r="I21" s="24">
        <f t="shared" ref="I21:I38" si="1">K21</f>
        <v>0</v>
      </c>
      <c r="J21" s="16"/>
      <c r="K21" s="22"/>
    </row>
    <row r="22" spans="1:11" ht="34.5" customHeight="1" x14ac:dyDescent="0.25">
      <c r="A22" s="1"/>
      <c r="B22" s="211"/>
      <c r="C22" s="167" t="s">
        <v>28</v>
      </c>
      <c r="D22" s="167" t="s">
        <v>29</v>
      </c>
      <c r="E22" s="166">
        <f>22690000/1000</f>
        <v>22690</v>
      </c>
      <c r="F22" s="166">
        <f>H22+H23</f>
        <v>15858.74142</v>
      </c>
      <c r="G22" s="15" t="s">
        <v>30</v>
      </c>
      <c r="H22" s="14">
        <f>12562210.89/1000</f>
        <v>12562.21089</v>
      </c>
      <c r="I22" s="166">
        <f>SUM(K22:K23)</f>
        <v>3296.53053</v>
      </c>
      <c r="J22" s="14" t="s">
        <v>31</v>
      </c>
      <c r="K22" s="19">
        <f>3296530.53/1000</f>
        <v>3296.53053</v>
      </c>
    </row>
    <row r="23" spans="1:11" ht="34.5" customHeight="1" x14ac:dyDescent="0.25">
      <c r="A23" s="1"/>
      <c r="B23" s="211"/>
      <c r="C23" s="160"/>
      <c r="D23" s="160"/>
      <c r="E23" s="152"/>
      <c r="F23" s="152"/>
      <c r="G23" s="13" t="s">
        <v>32</v>
      </c>
      <c r="H23" s="14">
        <f>3296530.53/1000</f>
        <v>3296.53053</v>
      </c>
      <c r="I23" s="152"/>
      <c r="J23" s="21" t="s">
        <v>25</v>
      </c>
      <c r="K23" s="21" t="s">
        <v>25</v>
      </c>
    </row>
    <row r="24" spans="1:11" ht="42.75" customHeight="1" x14ac:dyDescent="0.25">
      <c r="A24" s="1"/>
      <c r="B24" s="211"/>
      <c r="C24" s="13" t="s">
        <v>33</v>
      </c>
      <c r="D24" s="21" t="s">
        <v>25</v>
      </c>
      <c r="E24" s="14" t="s">
        <v>25</v>
      </c>
      <c r="F24" s="25">
        <f t="shared" si="0"/>
        <v>18.7502</v>
      </c>
      <c r="G24" s="13" t="s">
        <v>34</v>
      </c>
      <c r="H24" s="23">
        <f>18750.2/1000</f>
        <v>18.7502</v>
      </c>
      <c r="I24" s="24">
        <f>K24</f>
        <v>18.7502</v>
      </c>
      <c r="J24" s="21" t="s">
        <v>35</v>
      </c>
      <c r="K24" s="19">
        <v>18.7502</v>
      </c>
    </row>
    <row r="25" spans="1:11" ht="34.5" customHeight="1" x14ac:dyDescent="0.25">
      <c r="A25" s="1"/>
      <c r="B25" s="211"/>
      <c r="C25" s="13" t="s">
        <v>28</v>
      </c>
      <c r="D25" s="13" t="s">
        <v>36</v>
      </c>
      <c r="E25" s="14">
        <v>4452.5</v>
      </c>
      <c r="F25" s="23">
        <f>SUM(H25)</f>
        <v>0</v>
      </c>
      <c r="G25" s="26" t="s">
        <v>25</v>
      </c>
      <c r="H25" s="23" t="s">
        <v>25</v>
      </c>
      <c r="I25" s="23">
        <f>SUM(K25)</f>
        <v>1682.4229605999999</v>
      </c>
      <c r="J25" s="13" t="s">
        <v>37</v>
      </c>
      <c r="K25" s="22">
        <v>1682.4229605999999</v>
      </c>
    </row>
    <row r="26" spans="1:11" ht="48.75" customHeight="1" x14ac:dyDescent="0.25">
      <c r="A26" s="1"/>
      <c r="B26" s="211"/>
      <c r="C26" s="13" t="s">
        <v>26</v>
      </c>
      <c r="D26" s="13" t="s">
        <v>27</v>
      </c>
      <c r="E26" s="13" t="s">
        <v>25</v>
      </c>
      <c r="F26" s="23">
        <f>SUM(H26)</f>
        <v>2715.2097124000002</v>
      </c>
      <c r="G26" s="13" t="s">
        <v>38</v>
      </c>
      <c r="H26" s="14">
        <v>2715.2097124000002</v>
      </c>
      <c r="I26" s="23">
        <f>SUM(K26)</f>
        <v>2715.2097100000001</v>
      </c>
      <c r="J26" s="16" t="s">
        <v>39</v>
      </c>
      <c r="K26" s="22">
        <v>2715.2097100000001</v>
      </c>
    </row>
    <row r="27" spans="1:11" ht="32.25" customHeight="1" x14ac:dyDescent="0.25">
      <c r="A27" s="1"/>
      <c r="B27" s="211"/>
      <c r="C27" s="184" t="s">
        <v>40</v>
      </c>
      <c r="D27" s="177"/>
      <c r="E27" s="15" t="s">
        <v>25</v>
      </c>
      <c r="F27" s="16">
        <f t="shared" si="0"/>
        <v>90.546902854199999</v>
      </c>
      <c r="G27" s="15" t="s">
        <v>25</v>
      </c>
      <c r="H27" s="16">
        <f>90546.9028542/1000</f>
        <v>90.546902854199999</v>
      </c>
      <c r="I27" s="16">
        <f t="shared" si="1"/>
        <v>100.85817999999999</v>
      </c>
      <c r="J27" s="15" t="s">
        <v>25</v>
      </c>
      <c r="K27" s="22">
        <f>100858.18/1000</f>
        <v>100.85817999999999</v>
      </c>
    </row>
    <row r="28" spans="1:11" ht="32.25" customHeight="1" x14ac:dyDescent="0.25">
      <c r="A28" s="1"/>
      <c r="B28" s="211"/>
      <c r="C28" s="187" t="s">
        <v>41</v>
      </c>
      <c r="D28" s="176"/>
      <c r="E28" s="26" t="s">
        <v>25</v>
      </c>
      <c r="F28" s="14">
        <f t="shared" si="0"/>
        <v>100.30379947860899</v>
      </c>
      <c r="G28" s="13" t="s">
        <v>25</v>
      </c>
      <c r="H28" s="14">
        <f>100303.799478609/1000</f>
        <v>100.30379947860899</v>
      </c>
      <c r="I28" s="14">
        <f t="shared" si="1"/>
        <v>75.132429999999999</v>
      </c>
      <c r="J28" s="13" t="s">
        <v>25</v>
      </c>
      <c r="K28" s="19">
        <f>75132.43/1000</f>
        <v>75.132429999999999</v>
      </c>
    </row>
    <row r="29" spans="1:11" ht="30.75" customHeight="1" x14ac:dyDescent="0.25">
      <c r="A29" s="1"/>
      <c r="B29" s="211"/>
      <c r="C29" s="178" t="s">
        <v>42</v>
      </c>
      <c r="D29" s="179"/>
      <c r="E29" s="13" t="s">
        <v>25</v>
      </c>
      <c r="F29" s="14">
        <f t="shared" si="0"/>
        <v>66.060374878063513</v>
      </c>
      <c r="G29" s="13" t="s">
        <v>25</v>
      </c>
      <c r="H29" s="14">
        <f>66060.3748780635/1000</f>
        <v>66.060374878063513</v>
      </c>
      <c r="I29" s="14">
        <f t="shared" si="1"/>
        <v>64.594769999999997</v>
      </c>
      <c r="J29" s="13" t="s">
        <v>25</v>
      </c>
      <c r="K29" s="19">
        <f>64594.77/1000</f>
        <v>64.594769999999997</v>
      </c>
    </row>
    <row r="30" spans="1:11" ht="31.5" customHeight="1" x14ac:dyDescent="0.25">
      <c r="A30" s="1"/>
      <c r="B30" s="211"/>
      <c r="C30" s="187" t="s">
        <v>43</v>
      </c>
      <c r="D30" s="176"/>
      <c r="E30" s="13" t="s">
        <v>25</v>
      </c>
      <c r="F30" s="14">
        <f t="shared" si="0"/>
        <v>66.856733772330202</v>
      </c>
      <c r="G30" s="13" t="s">
        <v>25</v>
      </c>
      <c r="H30" s="14">
        <f>66856.7337723302/1000</f>
        <v>66.856733772330202</v>
      </c>
      <c r="I30" s="14">
        <f t="shared" si="1"/>
        <v>79.627960000000002</v>
      </c>
      <c r="J30" s="13" t="s">
        <v>25</v>
      </c>
      <c r="K30" s="19">
        <f>79627.96/1000</f>
        <v>79.627960000000002</v>
      </c>
    </row>
    <row r="31" spans="1:11" ht="30" customHeight="1" x14ac:dyDescent="0.25">
      <c r="A31" s="1"/>
      <c r="B31" s="211"/>
      <c r="C31" s="187" t="s">
        <v>44</v>
      </c>
      <c r="D31" s="176"/>
      <c r="E31" s="13" t="s">
        <v>25</v>
      </c>
      <c r="F31" s="14">
        <f t="shared" si="0"/>
        <v>70.150463831313488</v>
      </c>
      <c r="G31" s="13" t="s">
        <v>25</v>
      </c>
      <c r="H31" s="14">
        <f>70150.4638313135/1000</f>
        <v>70.150463831313488</v>
      </c>
      <c r="I31" s="14">
        <f t="shared" si="1"/>
        <v>43.507730000000002</v>
      </c>
      <c r="J31" s="13" t="s">
        <v>25</v>
      </c>
      <c r="K31" s="19">
        <f>43507.73/1000</f>
        <v>43.507730000000002</v>
      </c>
    </row>
    <row r="32" spans="1:11" ht="31.5" customHeight="1" x14ac:dyDescent="0.25">
      <c r="A32" s="1"/>
      <c r="B32" s="211"/>
      <c r="C32" s="178" t="s">
        <v>45</v>
      </c>
      <c r="D32" s="179"/>
      <c r="E32" s="13" t="s">
        <v>25</v>
      </c>
      <c r="F32" s="14">
        <f t="shared" si="0"/>
        <v>34.370895429021495</v>
      </c>
      <c r="G32" s="13" t="s">
        <v>25</v>
      </c>
      <c r="H32" s="14">
        <f>34370.8954290215/1000</f>
        <v>34.370895429021495</v>
      </c>
      <c r="I32" s="14">
        <f t="shared" si="1"/>
        <v>0</v>
      </c>
      <c r="J32" s="13" t="s">
        <v>25</v>
      </c>
      <c r="K32" s="19">
        <v>0</v>
      </c>
    </row>
    <row r="33" spans="1:11" ht="32.25" customHeight="1" x14ac:dyDescent="0.25">
      <c r="A33" s="1"/>
      <c r="B33" s="211"/>
      <c r="C33" s="184" t="s">
        <v>40</v>
      </c>
      <c r="D33" s="177"/>
      <c r="E33" s="15" t="s">
        <v>25</v>
      </c>
      <c r="F33" s="16">
        <f t="shared" si="0"/>
        <v>-90.546902854199999</v>
      </c>
      <c r="G33" s="15" t="s">
        <v>25</v>
      </c>
      <c r="H33" s="27">
        <f>-90546.9028542/1000</f>
        <v>-90.546902854199999</v>
      </c>
      <c r="I33" s="16">
        <f t="shared" si="1"/>
        <v>-100.85817999999999</v>
      </c>
      <c r="J33" s="15" t="s">
        <v>25</v>
      </c>
      <c r="K33" s="28">
        <f>-100858.18/1000</f>
        <v>-100.85817999999999</v>
      </c>
    </row>
    <row r="34" spans="1:11" ht="32.25" customHeight="1" x14ac:dyDescent="0.25">
      <c r="A34" s="1"/>
      <c r="B34" s="211"/>
      <c r="C34" s="187" t="s">
        <v>41</v>
      </c>
      <c r="D34" s="176"/>
      <c r="E34" s="26" t="s">
        <v>25</v>
      </c>
      <c r="F34" s="14">
        <f t="shared" si="0"/>
        <v>-100.30379947860899</v>
      </c>
      <c r="G34" s="13" t="s">
        <v>25</v>
      </c>
      <c r="H34" s="29">
        <f>-100303.799478609/1000</f>
        <v>-100.30379947860899</v>
      </c>
      <c r="I34" s="14">
        <f t="shared" si="1"/>
        <v>-75.132429999999999</v>
      </c>
      <c r="J34" s="13" t="s">
        <v>25</v>
      </c>
      <c r="K34" s="30">
        <f>-75132.43/1000</f>
        <v>-75.132429999999999</v>
      </c>
    </row>
    <row r="35" spans="1:11" ht="30.75" customHeight="1" x14ac:dyDescent="0.25">
      <c r="A35" s="1"/>
      <c r="B35" s="211"/>
      <c r="C35" s="178" t="s">
        <v>42</v>
      </c>
      <c r="D35" s="179"/>
      <c r="E35" s="13" t="s">
        <v>25</v>
      </c>
      <c r="F35" s="14">
        <f t="shared" si="0"/>
        <v>-66.060374878063513</v>
      </c>
      <c r="G35" s="13" t="s">
        <v>25</v>
      </c>
      <c r="H35" s="29">
        <f>-66060.3748780635/1000</f>
        <v>-66.060374878063513</v>
      </c>
      <c r="I35" s="14">
        <f t="shared" si="1"/>
        <v>-64.594769999999997</v>
      </c>
      <c r="J35" s="13" t="s">
        <v>25</v>
      </c>
      <c r="K35" s="30">
        <f>-64594.77/1000</f>
        <v>-64.594769999999997</v>
      </c>
    </row>
    <row r="36" spans="1:11" ht="31.5" customHeight="1" x14ac:dyDescent="0.25">
      <c r="A36" s="1"/>
      <c r="B36" s="211"/>
      <c r="C36" s="187" t="s">
        <v>43</v>
      </c>
      <c r="D36" s="176"/>
      <c r="E36" s="13" t="s">
        <v>25</v>
      </c>
      <c r="F36" s="14">
        <f t="shared" si="0"/>
        <v>-66.856733772330202</v>
      </c>
      <c r="G36" s="13" t="s">
        <v>25</v>
      </c>
      <c r="H36" s="29">
        <f>-66856.7337723302/1000</f>
        <v>-66.856733772330202</v>
      </c>
      <c r="I36" s="14">
        <f t="shared" si="1"/>
        <v>-79.627960000000002</v>
      </c>
      <c r="J36" s="13" t="s">
        <v>25</v>
      </c>
      <c r="K36" s="30">
        <f>-79627.96/1000</f>
        <v>-79.627960000000002</v>
      </c>
    </row>
    <row r="37" spans="1:11" ht="30" customHeight="1" x14ac:dyDescent="0.25">
      <c r="A37" s="1"/>
      <c r="B37" s="211"/>
      <c r="C37" s="187" t="s">
        <v>44</v>
      </c>
      <c r="D37" s="176"/>
      <c r="E37" s="13" t="s">
        <v>25</v>
      </c>
      <c r="F37" s="14">
        <f t="shared" si="0"/>
        <v>-70.150463831313488</v>
      </c>
      <c r="G37" s="13" t="s">
        <v>25</v>
      </c>
      <c r="H37" s="29">
        <f>-70150.4638313135/1000</f>
        <v>-70.150463831313488</v>
      </c>
      <c r="I37" s="14">
        <f t="shared" si="1"/>
        <v>-43.507730000000002</v>
      </c>
      <c r="J37" s="13" t="s">
        <v>25</v>
      </c>
      <c r="K37" s="30">
        <f>-43507.73/1000</f>
        <v>-43.507730000000002</v>
      </c>
    </row>
    <row r="38" spans="1:11" ht="31.5" customHeight="1" thickBot="1" x14ac:dyDescent="0.3">
      <c r="A38" s="1"/>
      <c r="B38" s="211"/>
      <c r="C38" s="187" t="s">
        <v>45</v>
      </c>
      <c r="D38" s="176"/>
      <c r="E38" s="13" t="s">
        <v>25</v>
      </c>
      <c r="F38" s="14">
        <f t="shared" si="0"/>
        <v>-34.370895429021495</v>
      </c>
      <c r="G38" s="13" t="s">
        <v>25</v>
      </c>
      <c r="H38" s="29">
        <f>-34370.8954290215/1000</f>
        <v>-34.370895429021495</v>
      </c>
      <c r="I38" s="14">
        <f t="shared" si="1"/>
        <v>0</v>
      </c>
      <c r="J38" s="13" t="s">
        <v>25</v>
      </c>
      <c r="K38" s="30">
        <v>0</v>
      </c>
    </row>
    <row r="39" spans="1:11" s="3" customFormat="1" ht="16.5" hidden="1" thickBot="1" x14ac:dyDescent="0.3">
      <c r="A39" s="1"/>
      <c r="B39" s="31"/>
      <c r="C39" s="32"/>
      <c r="D39" s="32"/>
      <c r="E39" s="32"/>
      <c r="F39" s="32"/>
      <c r="G39" s="32"/>
      <c r="H39" s="32"/>
      <c r="I39" s="32"/>
      <c r="J39" s="32"/>
      <c r="K39" s="33"/>
    </row>
    <row r="40" spans="1:11" s="3" customFormat="1" ht="65.25" customHeight="1" x14ac:dyDescent="0.25">
      <c r="A40" s="1"/>
      <c r="B40" s="34" t="s">
        <v>46</v>
      </c>
      <c r="C40" s="35" t="s">
        <v>47</v>
      </c>
      <c r="D40" s="35" t="s">
        <v>48</v>
      </c>
      <c r="E40" s="16" t="s">
        <v>25</v>
      </c>
      <c r="F40" s="16">
        <f>H40</f>
        <v>2983.4949999999999</v>
      </c>
      <c r="G40" s="16" t="s">
        <v>49</v>
      </c>
      <c r="H40" s="16">
        <f>2983495/1000</f>
        <v>2983.4949999999999</v>
      </c>
      <c r="I40" s="16">
        <f>K40</f>
        <v>2983.4949999999999</v>
      </c>
      <c r="J40" s="16" t="s">
        <v>50</v>
      </c>
      <c r="K40" s="22">
        <f>2983495/1000</f>
        <v>2983.4949999999999</v>
      </c>
    </row>
    <row r="41" spans="1:11" s="3" customFormat="1" ht="16.5" hidden="1" thickBot="1" x14ac:dyDescent="0.3">
      <c r="A41" s="1"/>
      <c r="B41" s="31"/>
      <c r="C41" s="32"/>
      <c r="D41" s="32"/>
      <c r="E41" s="32"/>
      <c r="F41" s="32"/>
      <c r="G41" s="32"/>
      <c r="H41" s="32"/>
      <c r="I41" s="32"/>
      <c r="J41" s="32"/>
      <c r="K41" s="33"/>
    </row>
    <row r="42" spans="1:11" s="3" customFormat="1" ht="57" hidden="1" customHeight="1" thickBot="1" x14ac:dyDescent="0.3">
      <c r="A42" s="1"/>
      <c r="B42" s="34" t="s">
        <v>51</v>
      </c>
      <c r="C42" s="163" t="s">
        <v>52</v>
      </c>
      <c r="D42" s="162"/>
      <c r="E42" s="16" t="s">
        <v>25</v>
      </c>
      <c r="F42" s="16">
        <f>H42</f>
        <v>0</v>
      </c>
      <c r="G42" s="16"/>
      <c r="H42" s="16"/>
      <c r="I42" s="16" t="s">
        <v>25</v>
      </c>
      <c r="J42" s="16"/>
      <c r="K42" s="22"/>
    </row>
    <row r="43" spans="1:11" s="3" customFormat="1" ht="16.5" hidden="1" thickBot="1" x14ac:dyDescent="0.3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3"/>
    </row>
    <row r="44" spans="1:11" s="3" customFormat="1" ht="43.5" hidden="1" customHeight="1" x14ac:dyDescent="0.25">
      <c r="A44" s="1"/>
      <c r="B44" s="156" t="s">
        <v>53</v>
      </c>
      <c r="C44" s="35" t="s">
        <v>54</v>
      </c>
      <c r="D44" s="35" t="s">
        <v>55</v>
      </c>
      <c r="E44" s="36">
        <v>483.904</v>
      </c>
      <c r="F44" s="36" t="s">
        <v>25</v>
      </c>
      <c r="G44" s="35"/>
      <c r="H44" s="36"/>
      <c r="I44" s="36">
        <f>K44</f>
        <v>0</v>
      </c>
      <c r="J44" s="36"/>
      <c r="K44" s="37"/>
    </row>
    <row r="45" spans="1:11" s="3" customFormat="1" ht="15.75" hidden="1" thickBot="1" x14ac:dyDescent="0.3">
      <c r="A45" s="1"/>
      <c r="B45" s="157"/>
      <c r="C45" s="191" t="s">
        <v>40</v>
      </c>
      <c r="D45" s="192"/>
      <c r="E45" s="38" t="s">
        <v>25</v>
      </c>
      <c r="F45" s="16">
        <f>H45</f>
        <v>0</v>
      </c>
      <c r="G45" s="15"/>
      <c r="H45" s="16"/>
      <c r="I45" s="16" t="s">
        <v>25</v>
      </c>
      <c r="J45" s="16"/>
      <c r="K45" s="22"/>
    </row>
    <row r="46" spans="1:11" s="3" customFormat="1" ht="34.5" hidden="1" customHeight="1" x14ac:dyDescent="0.25">
      <c r="A46" s="1"/>
      <c r="B46" s="156" t="s">
        <v>56</v>
      </c>
      <c r="C46" s="11" t="s">
        <v>54</v>
      </c>
      <c r="D46" s="11" t="s">
        <v>57</v>
      </c>
      <c r="E46" s="12">
        <v>13288.174000000001</v>
      </c>
      <c r="F46" s="12">
        <f>H46</f>
        <v>0</v>
      </c>
      <c r="G46" s="11"/>
      <c r="H46" s="12"/>
      <c r="I46" s="36">
        <f>K46</f>
        <v>0</v>
      </c>
      <c r="J46" s="36"/>
      <c r="K46" s="37"/>
    </row>
    <row r="47" spans="1:11" s="3" customFormat="1" ht="34.5" hidden="1" customHeight="1" x14ac:dyDescent="0.25">
      <c r="A47" s="1"/>
      <c r="B47" s="158"/>
      <c r="C47" s="13" t="s">
        <v>26</v>
      </c>
      <c r="D47" s="13" t="s">
        <v>27</v>
      </c>
      <c r="E47" s="14" t="s">
        <v>25</v>
      </c>
      <c r="F47" s="14" t="s">
        <v>25</v>
      </c>
      <c r="G47" s="14"/>
      <c r="H47" s="14"/>
      <c r="I47" s="14">
        <f>K47</f>
        <v>0</v>
      </c>
      <c r="J47" s="14"/>
      <c r="K47" s="19"/>
    </row>
    <row r="48" spans="1:11" ht="32.25" customHeight="1" x14ac:dyDescent="0.25">
      <c r="A48" s="1"/>
      <c r="B48" s="158"/>
      <c r="C48" s="178" t="s">
        <v>40</v>
      </c>
      <c r="D48" s="179"/>
      <c r="E48" s="13" t="s">
        <v>25</v>
      </c>
      <c r="F48" s="14">
        <f t="shared" ref="F48:F58" si="2">H48</f>
        <v>22.079849999999997</v>
      </c>
      <c r="G48" s="13" t="s">
        <v>25</v>
      </c>
      <c r="H48" s="14">
        <f>K48</f>
        <v>22.079849999999997</v>
      </c>
      <c r="I48" s="23">
        <f t="shared" ref="I48:I58" si="3">K48</f>
        <v>22.079849999999997</v>
      </c>
      <c r="J48" s="13" t="s">
        <v>25</v>
      </c>
      <c r="K48" s="39">
        <f>22079.85/1000</f>
        <v>22.079849999999997</v>
      </c>
    </row>
    <row r="49" spans="1:11" ht="31.5" customHeight="1" x14ac:dyDescent="0.25">
      <c r="A49" s="1"/>
      <c r="B49" s="158"/>
      <c r="C49" s="178" t="s">
        <v>41</v>
      </c>
      <c r="D49" s="179"/>
      <c r="E49" s="13" t="s">
        <v>25</v>
      </c>
      <c r="F49" s="14">
        <f t="shared" si="2"/>
        <v>12.550660000000001</v>
      </c>
      <c r="G49" s="13" t="s">
        <v>25</v>
      </c>
      <c r="H49" s="23">
        <f>12550.66/1000</f>
        <v>12.550660000000001</v>
      </c>
      <c r="I49" s="40">
        <f t="shared" si="3"/>
        <v>12.550660000000001</v>
      </c>
      <c r="J49" s="13" t="s">
        <v>25</v>
      </c>
      <c r="K49" s="39">
        <f>12550.66/1000</f>
        <v>12.550660000000001</v>
      </c>
    </row>
    <row r="50" spans="1:11" ht="31.5" customHeight="1" x14ac:dyDescent="0.25">
      <c r="A50" s="1"/>
      <c r="B50" s="158"/>
      <c r="C50" s="178" t="s">
        <v>42</v>
      </c>
      <c r="D50" s="179"/>
      <c r="E50" s="13" t="s">
        <v>25</v>
      </c>
      <c r="F50" s="14">
        <f t="shared" si="2"/>
        <v>12.78918</v>
      </c>
      <c r="G50" s="13" t="s">
        <v>25</v>
      </c>
      <c r="H50" s="23">
        <f t="shared" ref="H50:H55" si="4">K50</f>
        <v>12.78918</v>
      </c>
      <c r="I50" s="40">
        <f t="shared" si="3"/>
        <v>12.78918</v>
      </c>
      <c r="J50" s="13" t="s">
        <v>25</v>
      </c>
      <c r="K50" s="39">
        <f>12789.18/1000</f>
        <v>12.78918</v>
      </c>
    </row>
    <row r="51" spans="1:11" ht="31.5" customHeight="1" x14ac:dyDescent="0.25">
      <c r="A51" s="1"/>
      <c r="B51" s="158"/>
      <c r="C51" s="178" t="s">
        <v>43</v>
      </c>
      <c r="D51" s="179"/>
      <c r="E51" s="13" t="s">
        <v>25</v>
      </c>
      <c r="F51" s="14">
        <f t="shared" si="2"/>
        <v>38.496070000000003</v>
      </c>
      <c r="G51" s="13" t="s">
        <v>25</v>
      </c>
      <c r="H51" s="23">
        <f t="shared" si="4"/>
        <v>38.496070000000003</v>
      </c>
      <c r="I51" s="40">
        <f t="shared" si="3"/>
        <v>38.496070000000003</v>
      </c>
      <c r="J51" s="13" t="s">
        <v>25</v>
      </c>
      <c r="K51" s="39">
        <f>38496.07/1000</f>
        <v>38.496070000000003</v>
      </c>
    </row>
    <row r="52" spans="1:11" ht="31.5" customHeight="1" x14ac:dyDescent="0.25">
      <c r="A52" s="1"/>
      <c r="B52" s="158"/>
      <c r="C52" s="178" t="s">
        <v>44</v>
      </c>
      <c r="D52" s="179"/>
      <c r="E52" s="13" t="s">
        <v>25</v>
      </c>
      <c r="F52" s="14">
        <f>H52</f>
        <v>12.369639999999999</v>
      </c>
      <c r="G52" s="13" t="s">
        <v>25</v>
      </c>
      <c r="H52" s="23">
        <f t="shared" si="4"/>
        <v>12.369639999999999</v>
      </c>
      <c r="I52" s="40">
        <f>K52</f>
        <v>12.369639999999999</v>
      </c>
      <c r="J52" s="13" t="s">
        <v>25</v>
      </c>
      <c r="K52" s="39">
        <f>12369.64/1000</f>
        <v>12.369639999999999</v>
      </c>
    </row>
    <row r="53" spans="1:11" ht="31.5" customHeight="1" x14ac:dyDescent="0.25">
      <c r="A53" s="1"/>
      <c r="B53" s="158"/>
      <c r="C53" s="178" t="s">
        <v>45</v>
      </c>
      <c r="D53" s="179"/>
      <c r="E53" s="13" t="s">
        <v>25</v>
      </c>
      <c r="F53" s="14">
        <f t="shared" si="2"/>
        <v>12.69134</v>
      </c>
      <c r="G53" s="13" t="s">
        <v>25</v>
      </c>
      <c r="H53" s="23">
        <f t="shared" si="4"/>
        <v>12.69134</v>
      </c>
      <c r="I53" s="40">
        <f t="shared" si="3"/>
        <v>12.69134</v>
      </c>
      <c r="J53" s="13" t="s">
        <v>25</v>
      </c>
      <c r="K53" s="39">
        <f>23907.18/1000-K486</f>
        <v>12.69134</v>
      </c>
    </row>
    <row r="54" spans="1:11" s="3" customFormat="1" ht="37.5" customHeight="1" x14ac:dyDescent="0.25">
      <c r="A54" s="1"/>
      <c r="B54" s="158"/>
      <c r="C54" s="178" t="s">
        <v>58</v>
      </c>
      <c r="D54" s="179"/>
      <c r="E54" s="15" t="s">
        <v>25</v>
      </c>
      <c r="F54" s="16">
        <f t="shared" si="2"/>
        <v>47.648739999999904</v>
      </c>
      <c r="G54" s="15" t="s">
        <v>25</v>
      </c>
      <c r="H54" s="16">
        <f t="shared" si="4"/>
        <v>47.648739999999904</v>
      </c>
      <c r="I54" s="25">
        <f t="shared" si="3"/>
        <v>47.648739999999904</v>
      </c>
      <c r="J54" s="15" t="s">
        <v>25</v>
      </c>
      <c r="K54" s="41">
        <f>47648.7399999999/1000</f>
        <v>47.648739999999904</v>
      </c>
    </row>
    <row r="55" spans="1:11" s="3" customFormat="1" ht="37.5" customHeight="1" x14ac:dyDescent="0.25">
      <c r="A55" s="1"/>
      <c r="B55" s="158"/>
      <c r="C55" s="178" t="s">
        <v>59</v>
      </c>
      <c r="D55" s="179"/>
      <c r="E55" s="15" t="s">
        <v>25</v>
      </c>
      <c r="F55" s="16">
        <f t="shared" si="2"/>
        <v>18.400310000000001</v>
      </c>
      <c r="G55" s="15" t="s">
        <v>25</v>
      </c>
      <c r="H55" s="16">
        <f t="shared" si="4"/>
        <v>18.400310000000001</v>
      </c>
      <c r="I55" s="25">
        <f t="shared" si="3"/>
        <v>18.400310000000001</v>
      </c>
      <c r="J55" s="15" t="s">
        <v>25</v>
      </c>
      <c r="K55" s="41">
        <f>18400.31/1000</f>
        <v>18.400310000000001</v>
      </c>
    </row>
    <row r="56" spans="1:11" s="3" customFormat="1" ht="37.5" customHeight="1" x14ac:dyDescent="0.25">
      <c r="A56" s="1"/>
      <c r="B56" s="158"/>
      <c r="C56" s="178" t="s">
        <v>60</v>
      </c>
      <c r="D56" s="179"/>
      <c r="E56" s="13" t="s">
        <v>25</v>
      </c>
      <c r="F56" s="14">
        <f t="shared" si="2"/>
        <v>24.503209999999999</v>
      </c>
      <c r="G56" s="13" t="s">
        <v>25</v>
      </c>
      <c r="H56" s="14">
        <f>K56</f>
        <v>24.503209999999999</v>
      </c>
      <c r="I56" s="23">
        <f t="shared" si="3"/>
        <v>24.503209999999999</v>
      </c>
      <c r="J56" s="13" t="s">
        <v>25</v>
      </c>
      <c r="K56" s="39">
        <f>(5683.54+18819.67)/1000</f>
        <v>24.503209999999999</v>
      </c>
    </row>
    <row r="57" spans="1:11" s="3" customFormat="1" ht="37.5" customHeight="1" x14ac:dyDescent="0.25">
      <c r="A57" s="1"/>
      <c r="B57" s="158"/>
      <c r="C57" s="178" t="s">
        <v>61</v>
      </c>
      <c r="D57" s="179"/>
      <c r="E57" s="15" t="s">
        <v>25</v>
      </c>
      <c r="F57" s="16">
        <f t="shared" si="2"/>
        <v>64.649650000000008</v>
      </c>
      <c r="G57" s="15" t="s">
        <v>25</v>
      </c>
      <c r="H57" s="16">
        <f>K57</f>
        <v>64.649650000000008</v>
      </c>
      <c r="I57" s="25">
        <f t="shared" si="3"/>
        <v>64.649650000000008</v>
      </c>
      <c r="J57" s="15" t="s">
        <v>25</v>
      </c>
      <c r="K57" s="41">
        <f>64649.65/1000</f>
        <v>64.649650000000008</v>
      </c>
    </row>
    <row r="58" spans="1:11" s="3" customFormat="1" ht="37.5" customHeight="1" thickBot="1" x14ac:dyDescent="0.3">
      <c r="A58" s="1"/>
      <c r="B58" s="157"/>
      <c r="C58" s="164" t="s">
        <v>62</v>
      </c>
      <c r="D58" s="165"/>
      <c r="E58" s="15" t="s">
        <v>25</v>
      </c>
      <c r="F58" s="16">
        <f t="shared" si="2"/>
        <v>6.0480299999999998</v>
      </c>
      <c r="G58" s="15" t="s">
        <v>25</v>
      </c>
      <c r="H58" s="16">
        <f>K58</f>
        <v>6.0480299999999998</v>
      </c>
      <c r="I58" s="25">
        <f t="shared" si="3"/>
        <v>6.0480299999999998</v>
      </c>
      <c r="J58" s="15" t="s">
        <v>25</v>
      </c>
      <c r="K58" s="41">
        <f>6048.03/1000</f>
        <v>6.0480299999999998</v>
      </c>
    </row>
    <row r="59" spans="1:11" ht="16.5" hidden="1" thickBot="1" x14ac:dyDescent="0.3">
      <c r="A59" s="1"/>
      <c r="B59" s="31"/>
      <c r="C59" s="32"/>
      <c r="D59" s="32"/>
      <c r="E59" s="32"/>
      <c r="F59" s="32"/>
      <c r="G59" s="32"/>
      <c r="H59" s="32"/>
      <c r="I59" s="32"/>
      <c r="J59" s="32"/>
      <c r="K59" s="33"/>
    </row>
    <row r="60" spans="1:11" ht="46.5" hidden="1" customHeight="1" x14ac:dyDescent="0.25">
      <c r="A60" s="1"/>
      <c r="B60" s="156" t="s">
        <v>63</v>
      </c>
      <c r="C60" s="13" t="s">
        <v>64</v>
      </c>
      <c r="D60" s="13" t="s">
        <v>65</v>
      </c>
      <c r="E60" s="14">
        <f>143367.99/1000</f>
        <v>143.36798999999999</v>
      </c>
      <c r="F60" s="14">
        <f>H60</f>
        <v>0</v>
      </c>
      <c r="G60" s="13"/>
      <c r="H60" s="14"/>
      <c r="I60" s="14">
        <f>K60</f>
        <v>0</v>
      </c>
      <c r="J60" s="14"/>
      <c r="K60" s="19"/>
    </row>
    <row r="61" spans="1:11" ht="31.5" customHeight="1" x14ac:dyDescent="0.25">
      <c r="A61" s="1"/>
      <c r="B61" s="158"/>
      <c r="C61" s="13" t="s">
        <v>66</v>
      </c>
      <c r="D61" s="13" t="s">
        <v>67</v>
      </c>
      <c r="E61" s="14">
        <v>164.9</v>
      </c>
      <c r="F61" s="14">
        <f>H61</f>
        <v>164.9</v>
      </c>
      <c r="G61" s="13" t="s">
        <v>68</v>
      </c>
      <c r="H61" s="14">
        <f>164900/1000</f>
        <v>164.9</v>
      </c>
      <c r="I61" s="14" t="str">
        <f>K61</f>
        <v>__</v>
      </c>
      <c r="J61" s="14" t="s">
        <v>25</v>
      </c>
      <c r="K61" s="19" t="s">
        <v>25</v>
      </c>
    </row>
    <row r="62" spans="1:11" s="3" customFormat="1" ht="31.5" customHeight="1" x14ac:dyDescent="0.25">
      <c r="A62" s="1"/>
      <c r="B62" s="158"/>
      <c r="C62" s="13" t="s">
        <v>66</v>
      </c>
      <c r="D62" s="13" t="s">
        <v>69</v>
      </c>
      <c r="E62" s="14">
        <v>443.4</v>
      </c>
      <c r="F62" s="14">
        <f>H62</f>
        <v>443.4</v>
      </c>
      <c r="G62" s="13" t="s">
        <v>70</v>
      </c>
      <c r="H62" s="14">
        <f>443400/1000</f>
        <v>443.4</v>
      </c>
      <c r="I62" s="14" t="str">
        <f>K62</f>
        <v>__</v>
      </c>
      <c r="J62" s="14" t="s">
        <v>25</v>
      </c>
      <c r="K62" s="22" t="s">
        <v>25</v>
      </c>
    </row>
    <row r="63" spans="1:11" s="3" customFormat="1" ht="31.5" customHeight="1" x14ac:dyDescent="0.25">
      <c r="A63" s="1"/>
      <c r="B63" s="158"/>
      <c r="C63" s="178" t="s">
        <v>71</v>
      </c>
      <c r="D63" s="179"/>
      <c r="E63" s="42" t="s">
        <v>25</v>
      </c>
      <c r="F63" s="42" t="s">
        <v>25</v>
      </c>
      <c r="G63" s="42" t="s">
        <v>25</v>
      </c>
      <c r="H63" s="42" t="s">
        <v>25</v>
      </c>
      <c r="I63" s="14">
        <f>K63</f>
        <v>787.9920820000001</v>
      </c>
      <c r="J63" s="42" t="s">
        <v>25</v>
      </c>
      <c r="K63" s="19">
        <f>787992.082/1000</f>
        <v>787.9920820000001</v>
      </c>
    </row>
    <row r="64" spans="1:11" ht="32.25" customHeight="1" thickBot="1" x14ac:dyDescent="0.3">
      <c r="A64" s="1"/>
      <c r="B64" s="157"/>
      <c r="C64" s="164" t="s">
        <v>42</v>
      </c>
      <c r="D64" s="165"/>
      <c r="E64" s="43" t="s">
        <v>25</v>
      </c>
      <c r="F64" s="44">
        <f>H64</f>
        <v>18.386599999999998</v>
      </c>
      <c r="G64" s="43" t="s">
        <v>25</v>
      </c>
      <c r="H64" s="44">
        <f>K64</f>
        <v>18.386599999999998</v>
      </c>
      <c r="I64" s="45">
        <f>K64</f>
        <v>18.386599999999998</v>
      </c>
      <c r="J64" s="43" t="s">
        <v>25</v>
      </c>
      <c r="K64" s="46">
        <f>18386.6/1000</f>
        <v>18.386599999999998</v>
      </c>
    </row>
    <row r="65" spans="1:11" s="3" customFormat="1" ht="46.5" customHeight="1" x14ac:dyDescent="0.25">
      <c r="A65" s="1"/>
      <c r="B65" s="156" t="s">
        <v>72</v>
      </c>
      <c r="C65" s="35" t="s">
        <v>26</v>
      </c>
      <c r="D65" s="35" t="s">
        <v>27</v>
      </c>
      <c r="E65" s="47" t="s">
        <v>25</v>
      </c>
      <c r="F65" s="36">
        <f t="shared" ref="F65:F97" si="5">H65</f>
        <v>234.93330123999999</v>
      </c>
      <c r="G65" s="35" t="s">
        <v>38</v>
      </c>
      <c r="H65" s="36">
        <f>179.0234994+55.90980184</f>
        <v>234.93330123999999</v>
      </c>
      <c r="I65" s="36" t="str">
        <f t="shared" ref="I65:I99" si="6">K65</f>
        <v>__</v>
      </c>
      <c r="J65" s="47" t="s">
        <v>25</v>
      </c>
      <c r="K65" s="37" t="s">
        <v>25</v>
      </c>
    </row>
    <row r="66" spans="1:11" s="3" customFormat="1" ht="46.5" customHeight="1" x14ac:dyDescent="0.25">
      <c r="A66" s="1"/>
      <c r="B66" s="158"/>
      <c r="C66" s="13" t="s">
        <v>73</v>
      </c>
      <c r="D66" s="21" t="s">
        <v>74</v>
      </c>
      <c r="E66" s="14">
        <f>H66</f>
        <v>1466.5</v>
      </c>
      <c r="F66" s="14">
        <f t="shared" si="5"/>
        <v>1466.5</v>
      </c>
      <c r="G66" s="13" t="s">
        <v>75</v>
      </c>
      <c r="H66" s="14">
        <f>1117.5+349</f>
        <v>1466.5</v>
      </c>
      <c r="I66" s="16" t="str">
        <f t="shared" si="6"/>
        <v>__</v>
      </c>
      <c r="J66" s="42" t="s">
        <v>25</v>
      </c>
      <c r="K66" s="19" t="s">
        <v>25</v>
      </c>
    </row>
    <row r="67" spans="1:11" s="3" customFormat="1" ht="46.5" customHeight="1" x14ac:dyDescent="0.25">
      <c r="A67" s="1"/>
      <c r="B67" s="158"/>
      <c r="C67" s="178" t="s">
        <v>76</v>
      </c>
      <c r="D67" s="179"/>
      <c r="E67" s="42" t="s">
        <v>25</v>
      </c>
      <c r="F67" s="14">
        <f t="shared" si="5"/>
        <v>0</v>
      </c>
      <c r="G67" s="42" t="s">
        <v>25</v>
      </c>
      <c r="H67" s="14">
        <v>0</v>
      </c>
      <c r="I67" s="14">
        <f t="shared" si="6"/>
        <v>1704.9564058000001</v>
      </c>
      <c r="J67" s="42" t="s">
        <v>25</v>
      </c>
      <c r="K67" s="19">
        <f>1298.8209024+406.1355034</f>
        <v>1704.9564058000001</v>
      </c>
    </row>
    <row r="68" spans="1:11" s="3" customFormat="1" ht="46.5" customHeight="1" thickBot="1" x14ac:dyDescent="0.3">
      <c r="A68" s="1"/>
      <c r="B68" s="157"/>
      <c r="C68" s="191" t="s">
        <v>62</v>
      </c>
      <c r="D68" s="192"/>
      <c r="E68" s="48" t="s">
        <v>25</v>
      </c>
      <c r="F68" s="44">
        <f t="shared" si="5"/>
        <v>39.0379</v>
      </c>
      <c r="G68" s="48" t="s">
        <v>25</v>
      </c>
      <c r="H68" s="44">
        <f>K68</f>
        <v>39.0379</v>
      </c>
      <c r="I68" s="44">
        <f t="shared" si="6"/>
        <v>39.0379</v>
      </c>
      <c r="J68" s="49"/>
      <c r="K68" s="50">
        <f>(23584.48+15453.42)/1000</f>
        <v>39.0379</v>
      </c>
    </row>
    <row r="69" spans="1:11" s="3" customFormat="1" ht="46.5" customHeight="1" x14ac:dyDescent="0.25">
      <c r="A69" s="1"/>
      <c r="B69" s="156" t="s">
        <v>77</v>
      </c>
      <c r="C69" s="35" t="s">
        <v>26</v>
      </c>
      <c r="D69" s="35" t="s">
        <v>27</v>
      </c>
      <c r="E69" s="47" t="s">
        <v>25</v>
      </c>
      <c r="F69" s="36">
        <f t="shared" si="5"/>
        <v>35.836741599999996</v>
      </c>
      <c r="G69" s="35" t="s">
        <v>38</v>
      </c>
      <c r="H69" s="36">
        <v>35.836741599999996</v>
      </c>
      <c r="I69" s="36" t="str">
        <f t="shared" si="6"/>
        <v>__</v>
      </c>
      <c r="J69" s="47" t="s">
        <v>25</v>
      </c>
      <c r="K69" s="37" t="s">
        <v>25</v>
      </c>
    </row>
    <row r="70" spans="1:11" s="3" customFormat="1" ht="46.5" customHeight="1" x14ac:dyDescent="0.25">
      <c r="A70" s="1"/>
      <c r="B70" s="158"/>
      <c r="C70" s="13" t="s">
        <v>73</v>
      </c>
      <c r="D70" s="21" t="s">
        <v>74</v>
      </c>
      <c r="E70" s="14">
        <v>1466.5</v>
      </c>
      <c r="F70" s="14">
        <f t="shared" si="5"/>
        <v>223.7</v>
      </c>
      <c r="G70" s="13" t="s">
        <v>75</v>
      </c>
      <c r="H70" s="14">
        <v>223.7</v>
      </c>
      <c r="I70" s="16" t="str">
        <f t="shared" si="6"/>
        <v>__</v>
      </c>
      <c r="J70" s="42" t="s">
        <v>25</v>
      </c>
      <c r="K70" s="19" t="s">
        <v>25</v>
      </c>
    </row>
    <row r="71" spans="1:11" s="3" customFormat="1" ht="46.5" customHeight="1" x14ac:dyDescent="0.25">
      <c r="A71" s="1"/>
      <c r="B71" s="158"/>
      <c r="C71" s="163" t="s">
        <v>76</v>
      </c>
      <c r="D71" s="162"/>
      <c r="E71" s="51" t="s">
        <v>25</v>
      </c>
      <c r="F71" s="14">
        <f t="shared" si="5"/>
        <v>0</v>
      </c>
      <c r="G71" s="51" t="s">
        <v>25</v>
      </c>
      <c r="H71" s="14">
        <v>0</v>
      </c>
      <c r="I71" s="16">
        <f t="shared" si="6"/>
        <v>260.03631680000001</v>
      </c>
      <c r="J71" s="51" t="s">
        <v>25</v>
      </c>
      <c r="K71" s="22">
        <v>260.03631680000001</v>
      </c>
    </row>
    <row r="72" spans="1:11" s="3" customFormat="1" ht="46.5" customHeight="1" thickBot="1" x14ac:dyDescent="0.3">
      <c r="A72" s="1"/>
      <c r="B72" s="157"/>
      <c r="C72" s="191" t="s">
        <v>62</v>
      </c>
      <c r="D72" s="192"/>
      <c r="E72" s="49" t="s">
        <v>25</v>
      </c>
      <c r="F72" s="52">
        <f t="shared" si="5"/>
        <v>9.6662499999999998</v>
      </c>
      <c r="G72" s="52" t="s">
        <v>25</v>
      </c>
      <c r="H72" s="52">
        <f>K72</f>
        <v>9.6662499999999998</v>
      </c>
      <c r="I72" s="52">
        <f t="shared" si="6"/>
        <v>9.6662499999999998</v>
      </c>
      <c r="J72" s="49"/>
      <c r="K72" s="50">
        <f>9666.25/1000</f>
        <v>9.6662499999999998</v>
      </c>
    </row>
    <row r="73" spans="1:11" s="3" customFormat="1" ht="46.5" customHeight="1" x14ac:dyDescent="0.25">
      <c r="A73" s="1"/>
      <c r="B73" s="156" t="s">
        <v>78</v>
      </c>
      <c r="C73" s="35" t="s">
        <v>26</v>
      </c>
      <c r="D73" s="35" t="s">
        <v>27</v>
      </c>
      <c r="E73" s="47" t="s">
        <v>25</v>
      </c>
      <c r="F73" s="36">
        <f t="shared" si="5"/>
        <v>27.95490092</v>
      </c>
      <c r="G73" s="35" t="s">
        <v>38</v>
      </c>
      <c r="H73" s="36">
        <v>27.95490092</v>
      </c>
      <c r="I73" s="36" t="str">
        <f t="shared" si="6"/>
        <v>__</v>
      </c>
      <c r="J73" s="47" t="s">
        <v>25</v>
      </c>
      <c r="K73" s="37" t="s">
        <v>25</v>
      </c>
    </row>
    <row r="74" spans="1:11" s="3" customFormat="1" ht="46.5" customHeight="1" x14ac:dyDescent="0.25">
      <c r="A74" s="1"/>
      <c r="B74" s="158"/>
      <c r="C74" s="13" t="s">
        <v>73</v>
      </c>
      <c r="D74" s="21" t="s">
        <v>74</v>
      </c>
      <c r="E74" s="14">
        <f>H74</f>
        <v>174.5</v>
      </c>
      <c r="F74" s="14">
        <f t="shared" si="5"/>
        <v>174.5</v>
      </c>
      <c r="G74" s="13" t="s">
        <v>75</v>
      </c>
      <c r="H74" s="14">
        <v>174.5</v>
      </c>
      <c r="I74" s="16" t="str">
        <f t="shared" si="6"/>
        <v>__</v>
      </c>
      <c r="J74" s="42" t="s">
        <v>25</v>
      </c>
      <c r="K74" s="19" t="s">
        <v>25</v>
      </c>
    </row>
    <row r="75" spans="1:11" s="3" customFormat="1" ht="46.5" customHeight="1" x14ac:dyDescent="0.25">
      <c r="A75" s="1"/>
      <c r="B75" s="158"/>
      <c r="C75" s="178" t="s">
        <v>76</v>
      </c>
      <c r="D75" s="179"/>
      <c r="E75" s="51" t="s">
        <v>25</v>
      </c>
      <c r="F75" s="14">
        <f t="shared" si="5"/>
        <v>0</v>
      </c>
      <c r="G75" s="51" t="s">
        <v>25</v>
      </c>
      <c r="H75" s="14">
        <v>0</v>
      </c>
      <c r="I75" s="16">
        <f t="shared" si="6"/>
        <v>218.90660259999999</v>
      </c>
      <c r="J75" s="51" t="s">
        <v>25</v>
      </c>
      <c r="K75" s="22">
        <v>218.90660259999999</v>
      </c>
    </row>
    <row r="76" spans="1:11" s="3" customFormat="1" ht="46.5" customHeight="1" thickBot="1" x14ac:dyDescent="0.3">
      <c r="A76" s="1"/>
      <c r="B76" s="157"/>
      <c r="C76" s="191" t="s">
        <v>62</v>
      </c>
      <c r="D76" s="192"/>
      <c r="E76" s="49" t="s">
        <v>25</v>
      </c>
      <c r="F76" s="52">
        <f t="shared" si="5"/>
        <v>10.791139999999999</v>
      </c>
      <c r="G76" s="49" t="s">
        <v>25</v>
      </c>
      <c r="H76" s="52">
        <f>K76</f>
        <v>10.791139999999999</v>
      </c>
      <c r="I76" s="52">
        <f t="shared" si="6"/>
        <v>10.791139999999999</v>
      </c>
      <c r="J76" s="49"/>
      <c r="K76" s="50">
        <f>10791.14/1000</f>
        <v>10.791139999999999</v>
      </c>
    </row>
    <row r="77" spans="1:11" s="3" customFormat="1" ht="46.5" customHeight="1" x14ac:dyDescent="0.25">
      <c r="A77" s="1"/>
      <c r="B77" s="156" t="s">
        <v>79</v>
      </c>
      <c r="C77" s="35" t="s">
        <v>26</v>
      </c>
      <c r="D77" s="35" t="s">
        <v>27</v>
      </c>
      <c r="E77" s="47" t="s">
        <v>25</v>
      </c>
      <c r="F77" s="36">
        <f t="shared" si="5"/>
        <v>259.09946760000003</v>
      </c>
      <c r="G77" s="35" t="s">
        <v>38</v>
      </c>
      <c r="H77" s="36">
        <f>518.1989352/2</f>
        <v>259.09946760000003</v>
      </c>
      <c r="I77" s="36" t="str">
        <f t="shared" si="6"/>
        <v>__</v>
      </c>
      <c r="J77" s="47" t="s">
        <v>25</v>
      </c>
      <c r="K77" s="37" t="s">
        <v>25</v>
      </c>
    </row>
    <row r="78" spans="1:11" s="3" customFormat="1" ht="46.5" customHeight="1" x14ac:dyDescent="0.25">
      <c r="A78" s="1"/>
      <c r="B78" s="158"/>
      <c r="C78" s="13" t="s">
        <v>73</v>
      </c>
      <c r="D78" s="21" t="s">
        <v>74</v>
      </c>
      <c r="E78" s="14">
        <f>H78</f>
        <v>1617.35</v>
      </c>
      <c r="F78" s="14">
        <f t="shared" si="5"/>
        <v>1617.35</v>
      </c>
      <c r="G78" s="13" t="s">
        <v>75</v>
      </c>
      <c r="H78" s="14">
        <f>3234.7/2</f>
        <v>1617.35</v>
      </c>
      <c r="I78" s="16" t="str">
        <f t="shared" si="6"/>
        <v>__</v>
      </c>
      <c r="J78" s="42" t="s">
        <v>25</v>
      </c>
      <c r="K78" s="19" t="s">
        <v>25</v>
      </c>
    </row>
    <row r="79" spans="1:11" s="3" customFormat="1" ht="46.5" customHeight="1" x14ac:dyDescent="0.25">
      <c r="A79" s="1"/>
      <c r="B79" s="158"/>
      <c r="C79" s="178" t="s">
        <v>76</v>
      </c>
      <c r="D79" s="179"/>
      <c r="E79" s="42" t="s">
        <v>25</v>
      </c>
      <c r="F79" s="14">
        <f t="shared" si="5"/>
        <v>0</v>
      </c>
      <c r="G79" s="42" t="s">
        <v>25</v>
      </c>
      <c r="H79" s="14">
        <v>0</v>
      </c>
      <c r="I79" s="14">
        <f t="shared" si="6"/>
        <v>3536.7961819999996</v>
      </c>
      <c r="J79" s="42" t="s">
        <v>25</v>
      </c>
      <c r="K79" s="19">
        <v>3536.7961819999996</v>
      </c>
    </row>
    <row r="80" spans="1:11" s="3" customFormat="1" ht="46.5" customHeight="1" thickBot="1" x14ac:dyDescent="0.3">
      <c r="A80" s="1"/>
      <c r="B80" s="157"/>
      <c r="C80" s="191" t="s">
        <v>62</v>
      </c>
      <c r="D80" s="192"/>
      <c r="E80" s="49" t="s">
        <v>25</v>
      </c>
      <c r="F80" s="52">
        <f t="shared" si="5"/>
        <v>29.634209999999999</v>
      </c>
      <c r="G80" s="49" t="s">
        <v>25</v>
      </c>
      <c r="H80" s="52">
        <f>K80</f>
        <v>29.634209999999999</v>
      </c>
      <c r="I80" s="52">
        <f>K80</f>
        <v>29.634209999999999</v>
      </c>
      <c r="J80" s="49"/>
      <c r="K80" s="50">
        <f>29634.21/1000</f>
        <v>29.634209999999999</v>
      </c>
    </row>
    <row r="81" spans="1:11" s="3" customFormat="1" ht="46.5" customHeight="1" x14ac:dyDescent="0.25">
      <c r="A81" s="1"/>
      <c r="B81" s="156" t="s">
        <v>80</v>
      </c>
      <c r="C81" s="35" t="s">
        <v>26</v>
      </c>
      <c r="D81" s="35" t="s">
        <v>27</v>
      </c>
      <c r="E81" s="47" t="s">
        <v>25</v>
      </c>
      <c r="F81" s="36">
        <f t="shared" si="5"/>
        <v>259.09946760000003</v>
      </c>
      <c r="G81" s="35" t="s">
        <v>38</v>
      </c>
      <c r="H81" s="36">
        <f>518.1989352/2</f>
        <v>259.09946760000003</v>
      </c>
      <c r="I81" s="36" t="str">
        <f>K81</f>
        <v>__</v>
      </c>
      <c r="J81" s="47" t="s">
        <v>25</v>
      </c>
      <c r="K81" s="37" t="s">
        <v>25</v>
      </c>
    </row>
    <row r="82" spans="1:11" s="3" customFormat="1" ht="46.5" customHeight="1" x14ac:dyDescent="0.25">
      <c r="A82" s="1"/>
      <c r="B82" s="158"/>
      <c r="C82" s="13" t="s">
        <v>73</v>
      </c>
      <c r="D82" s="21" t="s">
        <v>74</v>
      </c>
      <c r="E82" s="14">
        <f>H82</f>
        <v>1617.35</v>
      </c>
      <c r="F82" s="14">
        <f t="shared" si="5"/>
        <v>1617.35</v>
      </c>
      <c r="G82" s="13" t="s">
        <v>75</v>
      </c>
      <c r="H82" s="14">
        <f>3234.7/2</f>
        <v>1617.35</v>
      </c>
      <c r="I82" s="16" t="str">
        <f>K82</f>
        <v>__</v>
      </c>
      <c r="J82" s="42" t="s">
        <v>25</v>
      </c>
      <c r="K82" s="19" t="s">
        <v>25</v>
      </c>
    </row>
    <row r="83" spans="1:11" s="3" customFormat="1" ht="46.5" customHeight="1" x14ac:dyDescent="0.25">
      <c r="A83" s="1"/>
      <c r="B83" s="158"/>
      <c r="C83" s="178" t="s">
        <v>76</v>
      </c>
      <c r="D83" s="179"/>
      <c r="E83" s="42" t="s">
        <v>25</v>
      </c>
      <c r="F83" s="14">
        <f t="shared" si="5"/>
        <v>0</v>
      </c>
      <c r="G83" s="42" t="s">
        <v>25</v>
      </c>
      <c r="H83" s="14">
        <v>0</v>
      </c>
      <c r="I83" s="14">
        <f t="shared" si="6"/>
        <v>222.15338439999999</v>
      </c>
      <c r="J83" s="42" t="s">
        <v>25</v>
      </c>
      <c r="K83" s="19">
        <v>222.15338439999999</v>
      </c>
    </row>
    <row r="84" spans="1:11" s="3" customFormat="1" ht="46.5" customHeight="1" thickBot="1" x14ac:dyDescent="0.3">
      <c r="A84" s="1"/>
      <c r="B84" s="157"/>
      <c r="C84" s="191" t="s">
        <v>62</v>
      </c>
      <c r="D84" s="192"/>
      <c r="E84" s="49" t="s">
        <v>25</v>
      </c>
      <c r="F84" s="52">
        <f t="shared" si="5"/>
        <v>8.6159800000000004</v>
      </c>
      <c r="G84" s="49" t="s">
        <v>25</v>
      </c>
      <c r="H84" s="52">
        <f>K84</f>
        <v>8.6159800000000004</v>
      </c>
      <c r="I84" s="52">
        <f t="shared" si="6"/>
        <v>8.6159800000000004</v>
      </c>
      <c r="J84" s="49"/>
      <c r="K84" s="50">
        <f>8615.98/1000</f>
        <v>8.6159800000000004</v>
      </c>
    </row>
    <row r="85" spans="1:11" s="3" customFormat="1" ht="46.5" customHeight="1" x14ac:dyDescent="0.25">
      <c r="A85" s="1"/>
      <c r="B85" s="156" t="s">
        <v>81</v>
      </c>
      <c r="C85" s="35" t="s">
        <v>26</v>
      </c>
      <c r="D85" s="35" t="s">
        <v>27</v>
      </c>
      <c r="E85" s="47" t="s">
        <v>25</v>
      </c>
      <c r="F85" s="36">
        <f t="shared" si="5"/>
        <v>52.401421119999995</v>
      </c>
      <c r="G85" s="35" t="s">
        <v>38</v>
      </c>
      <c r="H85" s="36">
        <v>52.401421119999995</v>
      </c>
      <c r="I85" s="36" t="str">
        <f t="shared" si="6"/>
        <v>__</v>
      </c>
      <c r="J85" s="47" t="s">
        <v>25</v>
      </c>
      <c r="K85" s="37" t="s">
        <v>25</v>
      </c>
    </row>
    <row r="86" spans="1:11" s="3" customFormat="1" ht="46.5" customHeight="1" x14ac:dyDescent="0.25">
      <c r="A86" s="1"/>
      <c r="B86" s="158"/>
      <c r="C86" s="13" t="s">
        <v>73</v>
      </c>
      <c r="D86" s="21" t="s">
        <v>74</v>
      </c>
      <c r="E86" s="14">
        <f>H86</f>
        <v>327.10000000000002</v>
      </c>
      <c r="F86" s="14">
        <f t="shared" si="5"/>
        <v>327.10000000000002</v>
      </c>
      <c r="G86" s="13" t="s">
        <v>75</v>
      </c>
      <c r="H86" s="14">
        <v>327.10000000000002</v>
      </c>
      <c r="I86" s="16" t="str">
        <f t="shared" si="6"/>
        <v>__</v>
      </c>
      <c r="J86" s="42" t="s">
        <v>25</v>
      </c>
      <c r="K86" s="19" t="s">
        <v>25</v>
      </c>
    </row>
    <row r="87" spans="1:11" s="3" customFormat="1" ht="46.5" customHeight="1" x14ac:dyDescent="0.25">
      <c r="A87" s="1"/>
      <c r="B87" s="158"/>
      <c r="C87" s="178" t="s">
        <v>76</v>
      </c>
      <c r="D87" s="179"/>
      <c r="E87" s="42" t="s">
        <v>25</v>
      </c>
      <c r="F87" s="14">
        <f t="shared" si="5"/>
        <v>0</v>
      </c>
      <c r="G87" s="42" t="s">
        <v>25</v>
      </c>
      <c r="H87" s="14">
        <v>0</v>
      </c>
      <c r="I87" s="14">
        <f t="shared" si="6"/>
        <v>381.32724240000005</v>
      </c>
      <c r="J87" s="42" t="s">
        <v>25</v>
      </c>
      <c r="K87" s="19">
        <v>381.32724240000005</v>
      </c>
    </row>
    <row r="88" spans="1:11" s="3" customFormat="1" ht="46.5" customHeight="1" thickBot="1" x14ac:dyDescent="0.3">
      <c r="A88" s="1"/>
      <c r="B88" s="157"/>
      <c r="C88" s="191" t="s">
        <v>62</v>
      </c>
      <c r="D88" s="192"/>
      <c r="E88" s="49" t="s">
        <v>25</v>
      </c>
      <c r="F88" s="52">
        <f t="shared" si="5"/>
        <v>13.44816</v>
      </c>
      <c r="G88" s="49" t="s">
        <v>25</v>
      </c>
      <c r="H88" s="52">
        <f>K88</f>
        <v>13.44816</v>
      </c>
      <c r="I88" s="52">
        <f t="shared" si="6"/>
        <v>13.44816</v>
      </c>
      <c r="J88" s="49"/>
      <c r="K88" s="50">
        <f>13448.16/1000</f>
        <v>13.44816</v>
      </c>
    </row>
    <row r="89" spans="1:11" s="3" customFormat="1" ht="46.5" customHeight="1" x14ac:dyDescent="0.25">
      <c r="A89" s="1"/>
      <c r="B89" s="156" t="s">
        <v>82</v>
      </c>
      <c r="C89" s="35" t="s">
        <v>26</v>
      </c>
      <c r="D89" s="35" t="s">
        <v>27</v>
      </c>
      <c r="E89" s="47" t="s">
        <v>25</v>
      </c>
      <c r="F89" s="36">
        <f t="shared" si="5"/>
        <v>103.88970042000001</v>
      </c>
      <c r="G89" s="35" t="s">
        <v>38</v>
      </c>
      <c r="H89" s="36">
        <v>103.88970042000001</v>
      </c>
      <c r="I89" s="36" t="str">
        <f t="shared" si="6"/>
        <v>__</v>
      </c>
      <c r="J89" s="47" t="s">
        <v>25</v>
      </c>
      <c r="K89" s="37" t="s">
        <v>25</v>
      </c>
    </row>
    <row r="90" spans="1:11" s="3" customFormat="1" ht="46.5" customHeight="1" x14ac:dyDescent="0.25">
      <c r="A90" s="1"/>
      <c r="B90" s="158"/>
      <c r="C90" s="13" t="s">
        <v>73</v>
      </c>
      <c r="D90" s="21" t="s">
        <v>74</v>
      </c>
      <c r="E90" s="14">
        <f>6549000/1000</f>
        <v>6549</v>
      </c>
      <c r="F90" s="14">
        <f t="shared" si="5"/>
        <v>648.5</v>
      </c>
      <c r="G90" s="13" t="s">
        <v>75</v>
      </c>
      <c r="H90" s="14">
        <v>648.5</v>
      </c>
      <c r="I90" s="16" t="str">
        <f t="shared" si="6"/>
        <v>__</v>
      </c>
      <c r="J90" s="42" t="s">
        <v>25</v>
      </c>
      <c r="K90" s="19" t="s">
        <v>25</v>
      </c>
    </row>
    <row r="91" spans="1:11" s="3" customFormat="1" ht="46.5" customHeight="1" x14ac:dyDescent="0.25">
      <c r="A91" s="1"/>
      <c r="B91" s="158"/>
      <c r="C91" s="178" t="s">
        <v>76</v>
      </c>
      <c r="D91" s="179"/>
      <c r="E91" s="42" t="s">
        <v>25</v>
      </c>
      <c r="F91" s="14">
        <f t="shared" si="5"/>
        <v>0</v>
      </c>
      <c r="G91" s="42" t="s">
        <v>25</v>
      </c>
      <c r="H91" s="14">
        <v>0</v>
      </c>
      <c r="I91" s="14">
        <f t="shared" si="6"/>
        <v>755.97180260000005</v>
      </c>
      <c r="J91" s="42" t="s">
        <v>25</v>
      </c>
      <c r="K91" s="19">
        <v>755.97180260000005</v>
      </c>
    </row>
    <row r="92" spans="1:11" s="3" customFormat="1" ht="46.5" customHeight="1" thickBot="1" x14ac:dyDescent="0.3">
      <c r="A92" s="1"/>
      <c r="B92" s="157"/>
      <c r="C92" s="191" t="s">
        <v>62</v>
      </c>
      <c r="D92" s="192"/>
      <c r="E92" s="49" t="s">
        <v>25</v>
      </c>
      <c r="F92" s="52">
        <f t="shared" si="5"/>
        <v>24.72748</v>
      </c>
      <c r="G92" s="49" t="s">
        <v>25</v>
      </c>
      <c r="H92" s="52">
        <f>K92</f>
        <v>24.72748</v>
      </c>
      <c r="I92" s="52">
        <f>K92</f>
        <v>24.72748</v>
      </c>
      <c r="J92" s="49"/>
      <c r="K92" s="50">
        <f>24727.48/1000</f>
        <v>24.72748</v>
      </c>
    </row>
    <row r="93" spans="1:11" s="3" customFormat="1" ht="46.5" customHeight="1" x14ac:dyDescent="0.25">
      <c r="A93" s="1"/>
      <c r="B93" s="156" t="s">
        <v>83</v>
      </c>
      <c r="C93" s="35" t="s">
        <v>26</v>
      </c>
      <c r="D93" s="35" t="s">
        <v>27</v>
      </c>
      <c r="E93" s="47" t="s">
        <v>25</v>
      </c>
      <c r="F93" s="36">
        <f t="shared" si="5"/>
        <v>25.311599833333332</v>
      </c>
      <c r="G93" s="35" t="s">
        <v>38</v>
      </c>
      <c r="H93" s="36">
        <v>25.311599833333332</v>
      </c>
      <c r="I93" s="36" t="str">
        <f>K93</f>
        <v>__</v>
      </c>
      <c r="J93" s="47" t="s">
        <v>25</v>
      </c>
      <c r="K93" s="37" t="s">
        <v>25</v>
      </c>
    </row>
    <row r="94" spans="1:11" s="3" customFormat="1" ht="46.5" customHeight="1" x14ac:dyDescent="0.25">
      <c r="A94" s="1"/>
      <c r="B94" s="158"/>
      <c r="C94" s="13" t="s">
        <v>73</v>
      </c>
      <c r="D94" s="21" t="s">
        <v>74</v>
      </c>
      <c r="E94" s="14">
        <f>H94</f>
        <v>158</v>
      </c>
      <c r="F94" s="14">
        <f t="shared" si="5"/>
        <v>158</v>
      </c>
      <c r="G94" s="13" t="s">
        <v>75</v>
      </c>
      <c r="H94" s="14">
        <v>158</v>
      </c>
      <c r="I94" s="16" t="str">
        <f>K94</f>
        <v>__</v>
      </c>
      <c r="J94" s="42" t="s">
        <v>25</v>
      </c>
      <c r="K94" s="19" t="s">
        <v>25</v>
      </c>
    </row>
    <row r="95" spans="1:11" s="3" customFormat="1" ht="46.5" customHeight="1" x14ac:dyDescent="0.25">
      <c r="A95" s="1"/>
      <c r="B95" s="158"/>
      <c r="C95" s="178" t="s">
        <v>76</v>
      </c>
      <c r="D95" s="179"/>
      <c r="E95" s="42" t="s">
        <v>25</v>
      </c>
      <c r="F95" s="14">
        <f t="shared" si="5"/>
        <v>0</v>
      </c>
      <c r="G95" s="42" t="s">
        <v>25</v>
      </c>
      <c r="H95" s="14">
        <v>0</v>
      </c>
      <c r="I95" s="14">
        <f t="shared" si="6"/>
        <v>183.69076519999996</v>
      </c>
      <c r="J95" s="42" t="s">
        <v>25</v>
      </c>
      <c r="K95" s="19">
        <v>183.69076519999996</v>
      </c>
    </row>
    <row r="96" spans="1:11" s="3" customFormat="1" ht="46.5" customHeight="1" thickBot="1" x14ac:dyDescent="0.3">
      <c r="A96" s="1"/>
      <c r="B96" s="157"/>
      <c r="C96" s="191" t="s">
        <v>62</v>
      </c>
      <c r="D96" s="192"/>
      <c r="E96" s="49" t="s">
        <v>25</v>
      </c>
      <c r="F96" s="52">
        <f t="shared" si="5"/>
        <v>5.5988100000000003</v>
      </c>
      <c r="G96" s="49" t="s">
        <v>25</v>
      </c>
      <c r="H96" s="52">
        <f>K96</f>
        <v>5.5988100000000003</v>
      </c>
      <c r="I96" s="52">
        <f>K96</f>
        <v>5.5988100000000003</v>
      </c>
      <c r="J96" s="49"/>
      <c r="K96" s="50">
        <f>5598.81/1000</f>
        <v>5.5988100000000003</v>
      </c>
    </row>
    <row r="97" spans="1:11" s="3" customFormat="1" ht="46.5" customHeight="1" x14ac:dyDescent="0.25">
      <c r="A97" s="1"/>
      <c r="B97" s="156" t="s">
        <v>84</v>
      </c>
      <c r="C97" s="35" t="s">
        <v>26</v>
      </c>
      <c r="D97" s="35" t="s">
        <v>27</v>
      </c>
      <c r="E97" s="47" t="s">
        <v>25</v>
      </c>
      <c r="F97" s="36">
        <f t="shared" si="5"/>
        <v>50.623199666666665</v>
      </c>
      <c r="G97" s="35" t="s">
        <v>38</v>
      </c>
      <c r="H97" s="14">
        <v>50.623199666666665</v>
      </c>
      <c r="I97" s="36" t="str">
        <f>K97</f>
        <v>__</v>
      </c>
      <c r="J97" s="47" t="s">
        <v>25</v>
      </c>
      <c r="K97" s="37" t="s">
        <v>25</v>
      </c>
    </row>
    <row r="98" spans="1:11" s="3" customFormat="1" ht="46.5" customHeight="1" x14ac:dyDescent="0.25">
      <c r="A98" s="1"/>
      <c r="B98" s="158"/>
      <c r="C98" s="13" t="s">
        <v>73</v>
      </c>
      <c r="D98" s="21" t="s">
        <v>74</v>
      </c>
      <c r="E98" s="14">
        <f>H98</f>
        <v>316</v>
      </c>
      <c r="F98" s="14">
        <f>H98</f>
        <v>316</v>
      </c>
      <c r="G98" s="13" t="s">
        <v>75</v>
      </c>
      <c r="H98" s="14">
        <v>316</v>
      </c>
      <c r="I98" s="16" t="str">
        <f>K98</f>
        <v>__</v>
      </c>
      <c r="J98" s="42" t="s">
        <v>25</v>
      </c>
      <c r="K98" s="19" t="s">
        <v>25</v>
      </c>
    </row>
    <row r="99" spans="1:11" s="3" customFormat="1" ht="46.5" customHeight="1" x14ac:dyDescent="0.25">
      <c r="A99" s="1"/>
      <c r="B99" s="158"/>
      <c r="C99" s="178" t="s">
        <v>76</v>
      </c>
      <c r="D99" s="179"/>
      <c r="E99" s="42" t="s">
        <v>25</v>
      </c>
      <c r="F99" s="14">
        <f>H99</f>
        <v>0</v>
      </c>
      <c r="G99" s="42" t="s">
        <v>25</v>
      </c>
      <c r="H99" s="14">
        <v>0</v>
      </c>
      <c r="I99" s="14">
        <f t="shared" si="6"/>
        <v>369.38117019999993</v>
      </c>
      <c r="J99" s="42" t="s">
        <v>25</v>
      </c>
      <c r="K99" s="19">
        <v>369.38117019999993</v>
      </c>
    </row>
    <row r="100" spans="1:11" s="3" customFormat="1" ht="46.5" customHeight="1" thickBot="1" x14ac:dyDescent="0.3">
      <c r="A100" s="1"/>
      <c r="B100" s="157"/>
      <c r="C100" s="191" t="s">
        <v>62</v>
      </c>
      <c r="D100" s="192"/>
      <c r="E100" s="49" t="s">
        <v>25</v>
      </c>
      <c r="F100" s="44">
        <f t="shared" ref="F100:F101" si="7">H100</f>
        <v>11.43075</v>
      </c>
      <c r="G100" s="49" t="s">
        <v>25</v>
      </c>
      <c r="H100" s="52">
        <f>K100</f>
        <v>11.43075</v>
      </c>
      <c r="I100" s="52">
        <f>K100</f>
        <v>11.43075</v>
      </c>
      <c r="J100" s="49"/>
      <c r="K100" s="50">
        <f>11430.75/1000</f>
        <v>11.43075</v>
      </c>
    </row>
    <row r="101" spans="1:11" s="3" customFormat="1" ht="47.25" customHeight="1" x14ac:dyDescent="0.25">
      <c r="A101" s="1"/>
      <c r="B101" s="156" t="s">
        <v>85</v>
      </c>
      <c r="C101" s="35" t="s">
        <v>26</v>
      </c>
      <c r="D101" s="35" t="s">
        <v>27</v>
      </c>
      <c r="E101" s="36" t="s">
        <v>25</v>
      </c>
      <c r="F101" s="36">
        <f t="shared" si="7"/>
        <v>87.795500000000004</v>
      </c>
      <c r="G101" s="35" t="s">
        <v>86</v>
      </c>
      <c r="H101" s="36">
        <f>87795.5/1000</f>
        <v>87.795500000000004</v>
      </c>
      <c r="I101" s="53">
        <f>K101</f>
        <v>87.795492800000005</v>
      </c>
      <c r="J101" s="35" t="s">
        <v>87</v>
      </c>
      <c r="K101" s="54">
        <f>34240.237/1000+53555.2558/1000</f>
        <v>87.795492800000005</v>
      </c>
    </row>
    <row r="102" spans="1:11" s="3" customFormat="1" ht="45" customHeight="1" x14ac:dyDescent="0.25">
      <c r="A102" s="1"/>
      <c r="B102" s="158"/>
      <c r="C102" s="167" t="s">
        <v>88</v>
      </c>
      <c r="D102" s="167" t="s">
        <v>89</v>
      </c>
      <c r="E102" s="166">
        <v>1250.7</v>
      </c>
      <c r="F102" s="166">
        <f>H102+H103</f>
        <v>1250.7</v>
      </c>
      <c r="G102" s="13" t="s">
        <v>90</v>
      </c>
      <c r="H102" s="23">
        <f>487000/1000</f>
        <v>487</v>
      </c>
      <c r="I102" s="202">
        <f>K102+K103</f>
        <v>1250.7</v>
      </c>
      <c r="J102" s="13" t="s">
        <v>91</v>
      </c>
      <c r="K102" s="39">
        <f>487000/1000</f>
        <v>487</v>
      </c>
    </row>
    <row r="103" spans="1:11" s="3" customFormat="1" ht="45" customHeight="1" x14ac:dyDescent="0.25">
      <c r="A103" s="1"/>
      <c r="B103" s="205"/>
      <c r="C103" s="160"/>
      <c r="D103" s="160"/>
      <c r="E103" s="152"/>
      <c r="F103" s="152"/>
      <c r="G103" s="13" t="s">
        <v>92</v>
      </c>
      <c r="H103" s="23">
        <f>763700/1000</f>
        <v>763.7</v>
      </c>
      <c r="I103" s="203"/>
      <c r="J103" s="13" t="s">
        <v>93</v>
      </c>
      <c r="K103" s="39">
        <f>763700/1000</f>
        <v>763.7</v>
      </c>
    </row>
    <row r="104" spans="1:11" s="3" customFormat="1" ht="48" customHeight="1" x14ac:dyDescent="0.25">
      <c r="A104" s="1"/>
      <c r="B104" s="204" t="s">
        <v>94</v>
      </c>
      <c r="C104" s="13" t="s">
        <v>26</v>
      </c>
      <c r="D104" s="13" t="s">
        <v>27</v>
      </c>
      <c r="E104" s="14" t="s">
        <v>25</v>
      </c>
      <c r="F104" s="14">
        <f>H104</f>
        <v>93.06</v>
      </c>
      <c r="G104" s="13" t="s">
        <v>86</v>
      </c>
      <c r="H104" s="14">
        <f>93060/1000</f>
        <v>93.06</v>
      </c>
      <c r="I104" s="23">
        <f t="shared" ref="I104:I105" si="8">K104</f>
        <v>93.06</v>
      </c>
      <c r="J104" s="13" t="s">
        <v>87</v>
      </c>
      <c r="K104" s="39">
        <f>93060/1000</f>
        <v>93.06</v>
      </c>
    </row>
    <row r="105" spans="1:11" s="3" customFormat="1" ht="48" customHeight="1" x14ac:dyDescent="0.25">
      <c r="A105" s="1"/>
      <c r="B105" s="204"/>
      <c r="C105" s="13" t="s">
        <v>95</v>
      </c>
      <c r="D105" s="13" t="s">
        <v>96</v>
      </c>
      <c r="E105" s="14">
        <v>975</v>
      </c>
      <c r="F105" s="14">
        <f>H105</f>
        <v>975</v>
      </c>
      <c r="G105" s="13" t="s">
        <v>97</v>
      </c>
      <c r="H105" s="14">
        <f>975000/1000</f>
        <v>975</v>
      </c>
      <c r="I105" s="23">
        <f t="shared" si="8"/>
        <v>975</v>
      </c>
      <c r="J105" s="13" t="s">
        <v>98</v>
      </c>
      <c r="K105" s="39">
        <f>975000/1000</f>
        <v>975</v>
      </c>
    </row>
    <row r="106" spans="1:11" s="3" customFormat="1" ht="60" hidden="1" customHeight="1" thickBot="1" x14ac:dyDescent="0.3">
      <c r="A106" s="1"/>
      <c r="B106" s="34" t="s">
        <v>99</v>
      </c>
      <c r="C106" s="11" t="s">
        <v>100</v>
      </c>
      <c r="D106" s="11" t="s">
        <v>101</v>
      </c>
      <c r="E106" s="12">
        <f>43069797.89/1000</f>
        <v>43069.797890000002</v>
      </c>
      <c r="F106" s="12">
        <f>SUM(H106)</f>
        <v>0</v>
      </c>
      <c r="G106" s="35"/>
      <c r="H106" s="36"/>
      <c r="I106" s="36" t="s">
        <v>25</v>
      </c>
      <c r="J106" s="36"/>
      <c r="K106" s="37"/>
    </row>
    <row r="107" spans="1:11" s="3" customFormat="1" ht="63.75" hidden="1" customHeight="1" x14ac:dyDescent="0.25">
      <c r="A107" s="1"/>
      <c r="B107" s="156" t="s">
        <v>102</v>
      </c>
      <c r="C107" s="11" t="s">
        <v>100</v>
      </c>
      <c r="D107" s="11" t="s">
        <v>103</v>
      </c>
      <c r="E107" s="12">
        <f>57760510.17/1000</f>
        <v>57760.510170000001</v>
      </c>
      <c r="F107" s="12">
        <f>SUM(H107)</f>
        <v>0</v>
      </c>
      <c r="G107" s="35"/>
      <c r="H107" s="36"/>
      <c r="I107" s="36" t="s">
        <v>25</v>
      </c>
      <c r="J107" s="36"/>
      <c r="K107" s="37"/>
    </row>
    <row r="108" spans="1:11" s="3" customFormat="1" ht="30" hidden="1" x14ac:dyDescent="0.25">
      <c r="A108" s="1"/>
      <c r="B108" s="158"/>
      <c r="C108" s="13" t="s">
        <v>104</v>
      </c>
      <c r="D108" s="13" t="s">
        <v>105</v>
      </c>
      <c r="E108" s="14">
        <v>1693</v>
      </c>
      <c r="F108" s="14">
        <f>H108</f>
        <v>0</v>
      </c>
      <c r="G108" s="14"/>
      <c r="H108" s="14"/>
      <c r="I108" s="14" t="s">
        <v>25</v>
      </c>
      <c r="J108" s="13"/>
      <c r="K108" s="19"/>
    </row>
    <row r="109" spans="1:11" s="3" customFormat="1" ht="30.75" hidden="1" customHeight="1" thickBot="1" x14ac:dyDescent="0.3">
      <c r="A109" s="1"/>
      <c r="B109" s="157"/>
      <c r="C109" s="43" t="s">
        <v>21</v>
      </c>
      <c r="D109" s="43" t="s">
        <v>22</v>
      </c>
      <c r="E109" s="43" t="s">
        <v>106</v>
      </c>
      <c r="F109" s="52">
        <f>H109</f>
        <v>0</v>
      </c>
      <c r="G109" s="43"/>
      <c r="H109" s="55"/>
      <c r="I109" s="44" t="s">
        <v>25</v>
      </c>
      <c r="J109" s="43"/>
      <c r="K109" s="50"/>
    </row>
    <row r="110" spans="1:11" s="3" customFormat="1" ht="60" hidden="1" customHeight="1" thickBot="1" x14ac:dyDescent="0.3">
      <c r="A110" s="1"/>
      <c r="B110" s="56" t="s">
        <v>107</v>
      </c>
      <c r="C110" s="11" t="s">
        <v>100</v>
      </c>
      <c r="D110" s="11" t="s">
        <v>108</v>
      </c>
      <c r="E110" s="12">
        <f>61898866.22/1000</f>
        <v>61898.866219999996</v>
      </c>
      <c r="F110" s="12">
        <f t="shared" ref="F110:F111" si="9">H110</f>
        <v>0</v>
      </c>
      <c r="G110" s="35"/>
      <c r="H110" s="36"/>
      <c r="I110" s="36" t="s">
        <v>25</v>
      </c>
      <c r="J110" s="36"/>
      <c r="K110" s="37"/>
    </row>
    <row r="111" spans="1:11" s="3" customFormat="1" ht="60" hidden="1" customHeight="1" thickBot="1" x14ac:dyDescent="0.3">
      <c r="A111" s="1"/>
      <c r="B111" s="56" t="s">
        <v>109</v>
      </c>
      <c r="C111" s="11" t="s">
        <v>100</v>
      </c>
      <c r="D111" s="57" t="s">
        <v>110</v>
      </c>
      <c r="E111" s="12">
        <v>59628.235540000001</v>
      </c>
      <c r="F111" s="12">
        <f t="shared" si="9"/>
        <v>0</v>
      </c>
      <c r="G111" s="35"/>
      <c r="H111" s="58"/>
      <c r="I111" s="36" t="s">
        <v>25</v>
      </c>
      <c r="J111" s="36"/>
      <c r="K111" s="37"/>
    </row>
    <row r="112" spans="1:11" s="3" customFormat="1" ht="32.25" hidden="1" customHeight="1" x14ac:dyDescent="0.25">
      <c r="A112" s="1"/>
      <c r="B112" s="156" t="s">
        <v>111</v>
      </c>
      <c r="C112" s="35" t="s">
        <v>26</v>
      </c>
      <c r="D112" s="35" t="s">
        <v>27</v>
      </c>
      <c r="E112" s="36" t="s">
        <v>25</v>
      </c>
      <c r="F112" s="36">
        <f>H112</f>
        <v>0</v>
      </c>
      <c r="G112" s="36"/>
      <c r="H112" s="36"/>
      <c r="I112" s="36">
        <f t="shared" ref="I112:I134" si="10">K112</f>
        <v>0</v>
      </c>
      <c r="J112" s="36"/>
      <c r="K112" s="37"/>
    </row>
    <row r="113" spans="1:11" s="3" customFormat="1" ht="39.75" customHeight="1" x14ac:dyDescent="0.25">
      <c r="A113" s="1"/>
      <c r="B113" s="158"/>
      <c r="C113" s="167" t="s">
        <v>112</v>
      </c>
      <c r="D113" s="176" t="s">
        <v>113</v>
      </c>
      <c r="E113" s="166">
        <f>17859290*1.18/1000</f>
        <v>21073.962199999998</v>
      </c>
      <c r="F113" s="166">
        <f>SUM(H113:H122)</f>
        <v>0</v>
      </c>
      <c r="G113" s="14" t="s">
        <v>25</v>
      </c>
      <c r="H113" s="14" t="s">
        <v>25</v>
      </c>
      <c r="I113" s="166">
        <f>SUM(K113:K122)</f>
        <v>21073.962199999994</v>
      </c>
      <c r="J113" s="166" t="s">
        <v>114</v>
      </c>
      <c r="K113" s="19">
        <v>2776.3367567999994</v>
      </c>
    </row>
    <row r="114" spans="1:11" s="3" customFormat="1" ht="39.75" customHeight="1" x14ac:dyDescent="0.25">
      <c r="A114" s="1"/>
      <c r="B114" s="158"/>
      <c r="C114" s="170"/>
      <c r="D114" s="177"/>
      <c r="E114" s="171"/>
      <c r="F114" s="171"/>
      <c r="G114" s="16" t="s">
        <v>25</v>
      </c>
      <c r="H114" s="16" t="s">
        <v>25</v>
      </c>
      <c r="I114" s="171"/>
      <c r="J114" s="171"/>
      <c r="K114" s="22">
        <v>2776.3367449999996</v>
      </c>
    </row>
    <row r="115" spans="1:11" s="3" customFormat="1" ht="39.75" customHeight="1" x14ac:dyDescent="0.25">
      <c r="A115" s="1"/>
      <c r="B115" s="158"/>
      <c r="C115" s="170"/>
      <c r="D115" s="177"/>
      <c r="E115" s="171"/>
      <c r="F115" s="171"/>
      <c r="G115" s="16" t="s">
        <v>25</v>
      </c>
      <c r="H115" s="16" t="s">
        <v>25</v>
      </c>
      <c r="I115" s="171"/>
      <c r="J115" s="171"/>
      <c r="K115" s="22">
        <v>1437.4162566</v>
      </c>
    </row>
    <row r="116" spans="1:11" s="3" customFormat="1" ht="39.75" customHeight="1" x14ac:dyDescent="0.25">
      <c r="A116" s="1"/>
      <c r="B116" s="158"/>
      <c r="C116" s="170"/>
      <c r="D116" s="177"/>
      <c r="E116" s="171"/>
      <c r="F116" s="171"/>
      <c r="G116" s="16" t="s">
        <v>25</v>
      </c>
      <c r="H116" s="16" t="s">
        <v>25</v>
      </c>
      <c r="I116" s="171"/>
      <c r="J116" s="171"/>
      <c r="K116" s="22">
        <v>1437.4162566</v>
      </c>
    </row>
    <row r="117" spans="1:11" s="3" customFormat="1" ht="39.75" customHeight="1" x14ac:dyDescent="0.25">
      <c r="A117" s="1"/>
      <c r="B117" s="158"/>
      <c r="C117" s="170"/>
      <c r="D117" s="177"/>
      <c r="E117" s="171"/>
      <c r="F117" s="171"/>
      <c r="G117" s="16" t="s">
        <v>25</v>
      </c>
      <c r="H117" s="16" t="s">
        <v>25</v>
      </c>
      <c r="I117" s="171"/>
      <c r="J117" s="171"/>
      <c r="K117" s="22">
        <v>5377.3663770000003</v>
      </c>
    </row>
    <row r="118" spans="1:11" s="3" customFormat="1" ht="39.75" customHeight="1" x14ac:dyDescent="0.25">
      <c r="A118" s="1"/>
      <c r="B118" s="158"/>
      <c r="C118" s="170"/>
      <c r="D118" s="177"/>
      <c r="E118" s="171"/>
      <c r="F118" s="171"/>
      <c r="G118" s="16" t="s">
        <v>25</v>
      </c>
      <c r="H118" s="16" t="s">
        <v>25</v>
      </c>
      <c r="I118" s="171"/>
      <c r="J118" s="171"/>
      <c r="K118" s="22">
        <v>1828.587413</v>
      </c>
    </row>
    <row r="119" spans="1:11" s="3" customFormat="1" ht="39.75" customHeight="1" x14ac:dyDescent="0.25">
      <c r="A119" s="1"/>
      <c r="B119" s="158"/>
      <c r="C119" s="170"/>
      <c r="D119" s="177"/>
      <c r="E119" s="171"/>
      <c r="F119" s="171"/>
      <c r="G119" s="16" t="s">
        <v>25</v>
      </c>
      <c r="H119" s="16" t="s">
        <v>25</v>
      </c>
      <c r="I119" s="171"/>
      <c r="J119" s="171"/>
      <c r="K119" s="22">
        <v>2701.7316815999998</v>
      </c>
    </row>
    <row r="120" spans="1:11" s="3" customFormat="1" ht="39.75" customHeight="1" x14ac:dyDescent="0.25">
      <c r="A120" s="1"/>
      <c r="B120" s="158"/>
      <c r="C120" s="170"/>
      <c r="D120" s="177"/>
      <c r="E120" s="171"/>
      <c r="F120" s="171"/>
      <c r="G120" s="16" t="s">
        <v>25</v>
      </c>
      <c r="H120" s="16" t="s">
        <v>25</v>
      </c>
      <c r="I120" s="171"/>
      <c r="J120" s="171"/>
      <c r="K120" s="22">
        <v>2701.7316815999998</v>
      </c>
    </row>
    <row r="121" spans="1:11" s="3" customFormat="1" ht="33" customHeight="1" x14ac:dyDescent="0.25">
      <c r="A121" s="1"/>
      <c r="B121" s="158"/>
      <c r="C121" s="170"/>
      <c r="D121" s="177"/>
      <c r="E121" s="171"/>
      <c r="F121" s="171"/>
      <c r="G121" s="16" t="s">
        <v>25</v>
      </c>
      <c r="H121" s="16" t="s">
        <v>25</v>
      </c>
      <c r="I121" s="171"/>
      <c r="J121" s="152"/>
      <c r="K121" s="22">
        <f>31389.01*1.18/1000</f>
        <v>37.039031799999997</v>
      </c>
    </row>
    <row r="122" spans="1:11" s="3" customFormat="1" ht="33" hidden="1" customHeight="1" x14ac:dyDescent="0.25">
      <c r="A122" s="1"/>
      <c r="B122" s="158"/>
      <c r="C122" s="160"/>
      <c r="D122" s="162"/>
      <c r="E122" s="152"/>
      <c r="F122" s="152"/>
      <c r="G122" s="16" t="s">
        <v>25</v>
      </c>
      <c r="H122" s="16" t="s">
        <v>25</v>
      </c>
      <c r="I122" s="152"/>
      <c r="J122" s="16" t="s">
        <v>25</v>
      </c>
      <c r="K122" s="22" t="s">
        <v>25</v>
      </c>
    </row>
    <row r="123" spans="1:11" s="3" customFormat="1" ht="30" customHeight="1" x14ac:dyDescent="0.25">
      <c r="A123" s="1"/>
      <c r="B123" s="158"/>
      <c r="C123" s="178" t="s">
        <v>40</v>
      </c>
      <c r="D123" s="179"/>
      <c r="E123" s="13" t="s">
        <v>25</v>
      </c>
      <c r="F123" s="14">
        <f t="shared" ref="F123:F134" si="11">H123</f>
        <v>51.398974513086202</v>
      </c>
      <c r="G123" s="13" t="s">
        <v>25</v>
      </c>
      <c r="H123" s="14">
        <f>51398.9745130862/1000</f>
        <v>51.398974513086202</v>
      </c>
      <c r="I123" s="14">
        <f t="shared" si="10"/>
        <v>45.927730000000004</v>
      </c>
      <c r="J123" s="13" t="s">
        <v>25</v>
      </c>
      <c r="K123" s="19">
        <f>45927.73/1000</f>
        <v>45.927730000000004</v>
      </c>
    </row>
    <row r="124" spans="1:11" s="3" customFormat="1" ht="32.25" customHeight="1" x14ac:dyDescent="0.25">
      <c r="A124" s="1"/>
      <c r="B124" s="158"/>
      <c r="C124" s="187" t="s">
        <v>41</v>
      </c>
      <c r="D124" s="176"/>
      <c r="E124" s="26" t="s">
        <v>25</v>
      </c>
      <c r="F124" s="14">
        <f t="shared" si="11"/>
        <v>51.684928550953494</v>
      </c>
      <c r="G124" s="13" t="s">
        <v>25</v>
      </c>
      <c r="H124" s="14">
        <f>51684.9285509535/1000</f>
        <v>51.684928550953494</v>
      </c>
      <c r="I124" s="14">
        <f t="shared" si="10"/>
        <v>50.374849999999995</v>
      </c>
      <c r="J124" s="13" t="s">
        <v>25</v>
      </c>
      <c r="K124" s="19">
        <f>50374.85/1000</f>
        <v>50.374849999999995</v>
      </c>
    </row>
    <row r="125" spans="1:11" s="3" customFormat="1" ht="32.25" customHeight="1" x14ac:dyDescent="0.25">
      <c r="A125" s="1"/>
      <c r="B125" s="158"/>
      <c r="C125" s="178" t="s">
        <v>42</v>
      </c>
      <c r="D125" s="179"/>
      <c r="E125" s="13" t="s">
        <v>25</v>
      </c>
      <c r="F125" s="14">
        <f t="shared" si="11"/>
        <v>44.674746651244696</v>
      </c>
      <c r="G125" s="13" t="s">
        <v>25</v>
      </c>
      <c r="H125" s="14">
        <f>44674.7466512447/1000</f>
        <v>44.674746651244696</v>
      </c>
      <c r="I125" s="14">
        <f t="shared" si="10"/>
        <v>39.668080000000003</v>
      </c>
      <c r="J125" s="13" t="s">
        <v>25</v>
      </c>
      <c r="K125" s="19">
        <f>39668.08/1000</f>
        <v>39.668080000000003</v>
      </c>
    </row>
    <row r="126" spans="1:11" s="3" customFormat="1" ht="31.5" customHeight="1" x14ac:dyDescent="0.25">
      <c r="A126" s="1"/>
      <c r="B126" s="158"/>
      <c r="C126" s="178" t="s">
        <v>43</v>
      </c>
      <c r="D126" s="179"/>
      <c r="E126" s="13" t="s">
        <v>25</v>
      </c>
      <c r="F126" s="14">
        <f t="shared" si="11"/>
        <v>37.618580146036898</v>
      </c>
      <c r="G126" s="13" t="s">
        <v>25</v>
      </c>
      <c r="H126" s="14">
        <f>37618.5801460369/1000</f>
        <v>37.618580146036898</v>
      </c>
      <c r="I126" s="23">
        <f t="shared" si="10"/>
        <v>35.407029999999999</v>
      </c>
      <c r="J126" s="13" t="s">
        <v>25</v>
      </c>
      <c r="K126" s="39">
        <f>35407.03/1000</f>
        <v>35.407029999999999</v>
      </c>
    </row>
    <row r="127" spans="1:11" s="3" customFormat="1" ht="36.75" customHeight="1" x14ac:dyDescent="0.25">
      <c r="A127" s="1"/>
      <c r="B127" s="158"/>
      <c r="C127" s="178" t="s">
        <v>44</v>
      </c>
      <c r="D127" s="179"/>
      <c r="E127" s="13" t="s">
        <v>25</v>
      </c>
      <c r="F127" s="14">
        <f t="shared" si="11"/>
        <v>31.736937098757799</v>
      </c>
      <c r="G127" s="13" t="s">
        <v>25</v>
      </c>
      <c r="H127" s="14">
        <f>31736.9370987578/1000</f>
        <v>31.736937098757799</v>
      </c>
      <c r="I127" s="23">
        <f t="shared" si="10"/>
        <v>29.146990000000002</v>
      </c>
      <c r="J127" s="13" t="s">
        <v>25</v>
      </c>
      <c r="K127" s="39">
        <f>29146.99/1000</f>
        <v>29.146990000000002</v>
      </c>
    </row>
    <row r="128" spans="1:11" s="3" customFormat="1" ht="30" customHeight="1" x14ac:dyDescent="0.25">
      <c r="A128" s="1"/>
      <c r="B128" s="158"/>
      <c r="C128" s="178" t="s">
        <v>45</v>
      </c>
      <c r="D128" s="179"/>
      <c r="E128" s="13" t="s">
        <v>25</v>
      </c>
      <c r="F128" s="14">
        <f t="shared" si="11"/>
        <v>24.098530712877199</v>
      </c>
      <c r="G128" s="13" t="s">
        <v>25</v>
      </c>
      <c r="H128" s="14">
        <f>24098.5307128772/1000</f>
        <v>24.098530712877199</v>
      </c>
      <c r="I128" s="23">
        <f t="shared" si="10"/>
        <v>0</v>
      </c>
      <c r="J128" s="13" t="s">
        <v>25</v>
      </c>
      <c r="K128" s="39">
        <v>0</v>
      </c>
    </row>
    <row r="129" spans="1:11" s="3" customFormat="1" ht="30" customHeight="1" x14ac:dyDescent="0.25">
      <c r="A129" s="1"/>
      <c r="B129" s="158"/>
      <c r="C129" s="184" t="s">
        <v>40</v>
      </c>
      <c r="D129" s="177"/>
      <c r="E129" s="15" t="s">
        <v>25</v>
      </c>
      <c r="F129" s="16">
        <f t="shared" si="11"/>
        <v>-51.398974513086202</v>
      </c>
      <c r="G129" s="15" t="s">
        <v>25</v>
      </c>
      <c r="H129" s="27">
        <f>-51398.9745130862/1000</f>
        <v>-51.398974513086202</v>
      </c>
      <c r="I129" s="16">
        <f t="shared" si="10"/>
        <v>-45.927730000000004</v>
      </c>
      <c r="J129" s="15" t="s">
        <v>25</v>
      </c>
      <c r="K129" s="28">
        <f>-45927.73/1000</f>
        <v>-45.927730000000004</v>
      </c>
    </row>
    <row r="130" spans="1:11" s="3" customFormat="1" ht="32.25" customHeight="1" x14ac:dyDescent="0.25">
      <c r="A130" s="1"/>
      <c r="B130" s="158"/>
      <c r="C130" s="187" t="s">
        <v>41</v>
      </c>
      <c r="D130" s="176"/>
      <c r="E130" s="26" t="s">
        <v>25</v>
      </c>
      <c r="F130" s="14">
        <f t="shared" si="11"/>
        <v>-51.684928550953494</v>
      </c>
      <c r="G130" s="13" t="s">
        <v>25</v>
      </c>
      <c r="H130" s="29">
        <f>-51684.9285509535/1000</f>
        <v>-51.684928550953494</v>
      </c>
      <c r="I130" s="14">
        <f t="shared" si="10"/>
        <v>-50.374849999999995</v>
      </c>
      <c r="J130" s="13" t="s">
        <v>25</v>
      </c>
      <c r="K130" s="30">
        <f>-50374.85/1000</f>
        <v>-50.374849999999995</v>
      </c>
    </row>
    <row r="131" spans="1:11" s="3" customFormat="1" ht="32.25" customHeight="1" x14ac:dyDescent="0.25">
      <c r="A131" s="1"/>
      <c r="B131" s="158"/>
      <c r="C131" s="178" t="s">
        <v>42</v>
      </c>
      <c r="D131" s="179"/>
      <c r="E131" s="13" t="s">
        <v>25</v>
      </c>
      <c r="F131" s="14">
        <f t="shared" si="11"/>
        <v>-44.674746651244696</v>
      </c>
      <c r="G131" s="13" t="s">
        <v>25</v>
      </c>
      <c r="H131" s="29">
        <f>-44674.7466512447/1000</f>
        <v>-44.674746651244696</v>
      </c>
      <c r="I131" s="14">
        <f t="shared" si="10"/>
        <v>-39.668080000000003</v>
      </c>
      <c r="J131" s="13" t="s">
        <v>25</v>
      </c>
      <c r="K131" s="30">
        <f>-39668.08/1000</f>
        <v>-39.668080000000003</v>
      </c>
    </row>
    <row r="132" spans="1:11" s="3" customFormat="1" ht="31.5" customHeight="1" x14ac:dyDescent="0.25">
      <c r="A132" s="1"/>
      <c r="B132" s="158"/>
      <c r="C132" s="178" t="s">
        <v>43</v>
      </c>
      <c r="D132" s="179"/>
      <c r="E132" s="13" t="s">
        <v>25</v>
      </c>
      <c r="F132" s="14">
        <f t="shared" si="11"/>
        <v>-37.618580146036898</v>
      </c>
      <c r="G132" s="13" t="s">
        <v>25</v>
      </c>
      <c r="H132" s="29">
        <f>-37618.5801460369/1000</f>
        <v>-37.618580146036898</v>
      </c>
      <c r="I132" s="23">
        <f t="shared" si="10"/>
        <v>-35.407029999999999</v>
      </c>
      <c r="J132" s="13" t="s">
        <v>25</v>
      </c>
      <c r="K132" s="59">
        <f>-35407.03/1000</f>
        <v>-35.407029999999999</v>
      </c>
    </row>
    <row r="133" spans="1:11" s="3" customFormat="1" ht="36.75" customHeight="1" x14ac:dyDescent="0.25">
      <c r="A133" s="1"/>
      <c r="B133" s="158"/>
      <c r="C133" s="178" t="s">
        <v>44</v>
      </c>
      <c r="D133" s="179"/>
      <c r="E133" s="13" t="s">
        <v>25</v>
      </c>
      <c r="F133" s="14">
        <f t="shared" si="11"/>
        <v>-31.736937098757799</v>
      </c>
      <c r="G133" s="13" t="s">
        <v>25</v>
      </c>
      <c r="H133" s="29">
        <f>-31736.9370987578/1000</f>
        <v>-31.736937098757799</v>
      </c>
      <c r="I133" s="23">
        <f t="shared" si="10"/>
        <v>-29.146990000000002</v>
      </c>
      <c r="J133" s="13" t="s">
        <v>25</v>
      </c>
      <c r="K133" s="59">
        <f>-29146.99/1000</f>
        <v>-29.146990000000002</v>
      </c>
    </row>
    <row r="134" spans="1:11" s="3" customFormat="1" ht="30" customHeight="1" x14ac:dyDescent="0.25">
      <c r="A134" s="1"/>
      <c r="B134" s="205"/>
      <c r="C134" s="178" t="s">
        <v>45</v>
      </c>
      <c r="D134" s="179"/>
      <c r="E134" s="13" t="s">
        <v>25</v>
      </c>
      <c r="F134" s="14">
        <f t="shared" si="11"/>
        <v>-24.098530712877199</v>
      </c>
      <c r="G134" s="13" t="s">
        <v>25</v>
      </c>
      <c r="H134" s="29">
        <f>-24098.5307128772/1000</f>
        <v>-24.098530712877199</v>
      </c>
      <c r="I134" s="23">
        <f t="shared" si="10"/>
        <v>0</v>
      </c>
      <c r="J134" s="13" t="s">
        <v>25</v>
      </c>
      <c r="K134" s="59">
        <v>0</v>
      </c>
    </row>
    <row r="135" spans="1:11" s="3" customFormat="1" ht="60" hidden="1" customHeight="1" x14ac:dyDescent="0.25">
      <c r="A135" s="1"/>
      <c r="B135" s="200" t="s">
        <v>115</v>
      </c>
      <c r="C135" s="60" t="s">
        <v>26</v>
      </c>
      <c r="D135" s="35" t="s">
        <v>27</v>
      </c>
      <c r="E135" s="14" t="s">
        <v>25</v>
      </c>
      <c r="F135" s="14" t="s">
        <v>25</v>
      </c>
      <c r="G135" s="14"/>
      <c r="H135" s="14"/>
      <c r="I135" s="36">
        <f>K135</f>
        <v>0</v>
      </c>
      <c r="J135" s="36"/>
      <c r="K135" s="37"/>
    </row>
    <row r="136" spans="1:11" s="3" customFormat="1" ht="30" hidden="1" customHeight="1" x14ac:dyDescent="0.25">
      <c r="A136" s="1"/>
      <c r="B136" s="158"/>
      <c r="C136" s="21" t="s">
        <v>26</v>
      </c>
      <c r="D136" s="13" t="s">
        <v>27</v>
      </c>
      <c r="E136" s="61" t="s">
        <v>25</v>
      </c>
      <c r="F136" s="16">
        <f>H136</f>
        <v>0</v>
      </c>
      <c r="G136" s="14"/>
      <c r="H136" s="14"/>
      <c r="I136" s="14" t="s">
        <v>25</v>
      </c>
      <c r="J136" s="14"/>
      <c r="K136" s="14"/>
    </row>
    <row r="137" spans="1:11" s="3" customFormat="1" ht="39.75" customHeight="1" x14ac:dyDescent="0.25">
      <c r="A137" s="1"/>
      <c r="B137" s="158"/>
      <c r="C137" s="176" t="s">
        <v>112</v>
      </c>
      <c r="D137" s="176" t="s">
        <v>116</v>
      </c>
      <c r="E137" s="166">
        <f>10176490*1.18/1000</f>
        <v>12008.258199999998</v>
      </c>
      <c r="F137" s="166">
        <f>SUM(H137:H143)</f>
        <v>0</v>
      </c>
      <c r="G137" s="14" t="s">
        <v>25</v>
      </c>
      <c r="H137" s="14" t="s">
        <v>25</v>
      </c>
      <c r="I137" s="166">
        <f>SUM(K137:K143)</f>
        <v>12008.2582</v>
      </c>
      <c r="J137" s="166" t="s">
        <v>117</v>
      </c>
      <c r="K137" s="19">
        <v>3028.1116811999996</v>
      </c>
    </row>
    <row r="138" spans="1:11" s="3" customFormat="1" ht="39.75" customHeight="1" x14ac:dyDescent="0.25">
      <c r="A138" s="1"/>
      <c r="B138" s="158"/>
      <c r="C138" s="177"/>
      <c r="D138" s="177"/>
      <c r="E138" s="171"/>
      <c r="F138" s="171"/>
      <c r="G138" s="16" t="s">
        <v>25</v>
      </c>
      <c r="H138" s="16" t="s">
        <v>25</v>
      </c>
      <c r="I138" s="171"/>
      <c r="J138" s="171"/>
      <c r="K138" s="22">
        <v>1570.4783548</v>
      </c>
    </row>
    <row r="139" spans="1:11" s="3" customFormat="1" ht="39.75" customHeight="1" x14ac:dyDescent="0.25">
      <c r="A139" s="1"/>
      <c r="B139" s="158"/>
      <c r="C139" s="177"/>
      <c r="D139" s="177"/>
      <c r="E139" s="171"/>
      <c r="F139" s="171"/>
      <c r="G139" s="16" t="s">
        <v>25</v>
      </c>
      <c r="H139" s="16" t="s">
        <v>25</v>
      </c>
      <c r="I139" s="171"/>
      <c r="J139" s="171"/>
      <c r="K139" s="22">
        <v>2973.6973617999997</v>
      </c>
    </row>
    <row r="140" spans="1:11" s="3" customFormat="1" ht="39.75" customHeight="1" x14ac:dyDescent="0.25">
      <c r="A140" s="1"/>
      <c r="B140" s="158"/>
      <c r="C140" s="177"/>
      <c r="D140" s="177"/>
      <c r="E140" s="171"/>
      <c r="F140" s="171"/>
      <c r="G140" s="16" t="s">
        <v>25</v>
      </c>
      <c r="H140" s="16" t="s">
        <v>25</v>
      </c>
      <c r="I140" s="171"/>
      <c r="J140" s="171"/>
      <c r="K140" s="22">
        <v>1342.3250244000001</v>
      </c>
    </row>
    <row r="141" spans="1:11" s="3" customFormat="1" ht="39.75" customHeight="1" x14ac:dyDescent="0.25">
      <c r="A141" s="1"/>
      <c r="B141" s="158"/>
      <c r="C141" s="177"/>
      <c r="D141" s="177"/>
      <c r="E141" s="171"/>
      <c r="F141" s="171"/>
      <c r="G141" s="16" t="s">
        <v>25</v>
      </c>
      <c r="H141" s="16" t="s">
        <v>25</v>
      </c>
      <c r="I141" s="171"/>
      <c r="J141" s="171"/>
      <c r="K141" s="22">
        <v>3084.6999263999996</v>
      </c>
    </row>
    <row r="142" spans="1:11" s="3" customFormat="1" ht="33" customHeight="1" x14ac:dyDescent="0.25">
      <c r="A142" s="1"/>
      <c r="B142" s="158"/>
      <c r="C142" s="177"/>
      <c r="D142" s="177"/>
      <c r="E142" s="171"/>
      <c r="F142" s="171"/>
      <c r="G142" s="16" t="s">
        <v>25</v>
      </c>
      <c r="H142" s="16" t="s">
        <v>25</v>
      </c>
      <c r="I142" s="171"/>
      <c r="J142" s="152"/>
      <c r="K142" s="22">
        <f>7581.23*1.18/1000</f>
        <v>8.9458513999999987</v>
      </c>
    </row>
    <row r="143" spans="1:11" s="3" customFormat="1" ht="33" customHeight="1" x14ac:dyDescent="0.25">
      <c r="A143" s="1"/>
      <c r="B143" s="158"/>
      <c r="C143" s="162"/>
      <c r="D143" s="162"/>
      <c r="E143" s="152"/>
      <c r="F143" s="152"/>
      <c r="G143" s="16" t="s">
        <v>25</v>
      </c>
      <c r="H143" s="16" t="s">
        <v>25</v>
      </c>
      <c r="I143" s="152"/>
      <c r="J143" s="16"/>
      <c r="K143" s="22"/>
    </row>
    <row r="144" spans="1:11" s="3" customFormat="1" ht="30.75" customHeight="1" x14ac:dyDescent="0.25">
      <c r="A144" s="1"/>
      <c r="B144" s="158"/>
      <c r="C144" s="195" t="s">
        <v>40</v>
      </c>
      <c r="D144" s="179"/>
      <c r="E144" s="13" t="s">
        <v>25</v>
      </c>
      <c r="F144" s="14">
        <f t="shared" ref="F144:F179" si="12">H144</f>
        <v>50.811861037897394</v>
      </c>
      <c r="G144" s="13" t="s">
        <v>25</v>
      </c>
      <c r="H144" s="14">
        <f>50811.8610378974/1000</f>
        <v>50.811861037897394</v>
      </c>
      <c r="I144" s="14">
        <f>K144</f>
        <v>45.471199999999996</v>
      </c>
      <c r="J144" s="13" t="s">
        <v>25</v>
      </c>
      <c r="K144" s="19">
        <f>45471.2/1000</f>
        <v>45.471199999999996</v>
      </c>
    </row>
    <row r="145" spans="1:11" s="3" customFormat="1" ht="30.75" customHeight="1" x14ac:dyDescent="0.25">
      <c r="A145" s="1"/>
      <c r="B145" s="158"/>
      <c r="C145" s="199" t="s">
        <v>41</v>
      </c>
      <c r="D145" s="176"/>
      <c r="E145" s="26" t="s">
        <v>25</v>
      </c>
      <c r="F145" s="14">
        <f t="shared" si="12"/>
        <v>51.220220864777097</v>
      </c>
      <c r="G145" s="13" t="s">
        <v>25</v>
      </c>
      <c r="H145" s="14">
        <f>51220.2208647771/1000</f>
        <v>51.220220864777097</v>
      </c>
      <c r="I145" s="14">
        <f>K145</f>
        <v>50.04663</v>
      </c>
      <c r="J145" s="13" t="s">
        <v>25</v>
      </c>
      <c r="K145" s="19">
        <f>50046.63/1000</f>
        <v>50.04663</v>
      </c>
    </row>
    <row r="146" spans="1:11" s="3" customFormat="1" ht="30.75" customHeight="1" x14ac:dyDescent="0.25">
      <c r="A146" s="1"/>
      <c r="B146" s="158"/>
      <c r="C146" s="195" t="s">
        <v>42</v>
      </c>
      <c r="D146" s="179"/>
      <c r="E146" s="13" t="s">
        <v>25</v>
      </c>
      <c r="F146" s="14">
        <f t="shared" si="12"/>
        <v>43.596392267197601</v>
      </c>
      <c r="G146" s="13" t="s">
        <v>25</v>
      </c>
      <c r="H146" s="14">
        <f>43596.3922671976/1000</f>
        <v>43.596392267197601</v>
      </c>
      <c r="I146" s="14">
        <f>K146</f>
        <v>36.542699999999996</v>
      </c>
      <c r="J146" s="13" t="s">
        <v>25</v>
      </c>
      <c r="K146" s="19">
        <f>36542.7/1000</f>
        <v>36.542699999999996</v>
      </c>
    </row>
    <row r="147" spans="1:11" s="3" customFormat="1" ht="32.25" customHeight="1" x14ac:dyDescent="0.25">
      <c r="A147" s="1"/>
      <c r="B147" s="158"/>
      <c r="C147" s="195" t="s">
        <v>43</v>
      </c>
      <c r="D147" s="179"/>
      <c r="E147" s="13" t="s">
        <v>25</v>
      </c>
      <c r="F147" s="14">
        <f t="shared" si="12"/>
        <v>35.335858014199601</v>
      </c>
      <c r="G147" s="13" t="s">
        <v>25</v>
      </c>
      <c r="H147" s="14">
        <f>35335.8580141996/1000</f>
        <v>35.335858014199601</v>
      </c>
      <c r="I147" s="23">
        <f>K147</f>
        <v>35.407029999999999</v>
      </c>
      <c r="J147" s="13" t="s">
        <v>25</v>
      </c>
      <c r="K147" s="39">
        <f>35407.03/1000</f>
        <v>35.407029999999999</v>
      </c>
    </row>
    <row r="148" spans="1:11" s="3" customFormat="1" ht="31.5" customHeight="1" x14ac:dyDescent="0.25">
      <c r="A148" s="1"/>
      <c r="B148" s="158"/>
      <c r="C148" s="195" t="s">
        <v>44</v>
      </c>
      <c r="D148" s="179"/>
      <c r="E148" s="13" t="s">
        <v>25</v>
      </c>
      <c r="F148" s="14">
        <f t="shared" si="12"/>
        <v>31.736937098757799</v>
      </c>
      <c r="G148" s="13" t="s">
        <v>25</v>
      </c>
      <c r="H148" s="14">
        <f>31736.9370987578/1000</f>
        <v>31.736937098757799</v>
      </c>
      <c r="I148" s="23">
        <f>K148</f>
        <v>29.146979999999999</v>
      </c>
      <c r="J148" s="13" t="s">
        <v>25</v>
      </c>
      <c r="K148" s="39">
        <f>29146.98/1000</f>
        <v>29.146979999999999</v>
      </c>
    </row>
    <row r="149" spans="1:11" s="3" customFormat="1" ht="28.5" customHeight="1" x14ac:dyDescent="0.25">
      <c r="A149" s="1"/>
      <c r="B149" s="158"/>
      <c r="C149" s="195" t="s">
        <v>45</v>
      </c>
      <c r="D149" s="179"/>
      <c r="E149" s="13" t="s">
        <v>25</v>
      </c>
      <c r="F149" s="14">
        <f t="shared" si="12"/>
        <v>24.098530712877199</v>
      </c>
      <c r="G149" s="13" t="s">
        <v>25</v>
      </c>
      <c r="H149" s="14">
        <f>24098.5307128772/1000</f>
        <v>24.098530712877199</v>
      </c>
      <c r="I149" s="23">
        <f t="shared" ref="I149:I179" si="13">K149</f>
        <v>0</v>
      </c>
      <c r="J149" s="13" t="s">
        <v>25</v>
      </c>
      <c r="K149" s="39">
        <v>0</v>
      </c>
    </row>
    <row r="150" spans="1:11" s="3" customFormat="1" ht="30.75" customHeight="1" x14ac:dyDescent="0.25">
      <c r="A150" s="1"/>
      <c r="B150" s="158"/>
      <c r="C150" s="201" t="s">
        <v>40</v>
      </c>
      <c r="D150" s="177"/>
      <c r="E150" s="15" t="s">
        <v>25</v>
      </c>
      <c r="F150" s="16">
        <f t="shared" si="12"/>
        <v>-50.811861037897394</v>
      </c>
      <c r="G150" s="15" t="s">
        <v>25</v>
      </c>
      <c r="H150" s="27">
        <f>-50811.8610378974/1000</f>
        <v>-50.811861037897394</v>
      </c>
      <c r="I150" s="16">
        <f t="shared" si="13"/>
        <v>-45.471199999999996</v>
      </c>
      <c r="J150" s="15" t="s">
        <v>25</v>
      </c>
      <c r="K150" s="28">
        <f>-45471.2/1000</f>
        <v>-45.471199999999996</v>
      </c>
    </row>
    <row r="151" spans="1:11" s="3" customFormat="1" ht="30.75" customHeight="1" x14ac:dyDescent="0.25">
      <c r="A151" s="1"/>
      <c r="B151" s="158"/>
      <c r="C151" s="199" t="s">
        <v>41</v>
      </c>
      <c r="D151" s="176"/>
      <c r="E151" s="26" t="s">
        <v>25</v>
      </c>
      <c r="F151" s="14">
        <f t="shared" si="12"/>
        <v>-51.220220864777097</v>
      </c>
      <c r="G151" s="13" t="s">
        <v>25</v>
      </c>
      <c r="H151" s="29">
        <f>-51220.2208647771/1000</f>
        <v>-51.220220864777097</v>
      </c>
      <c r="I151" s="14">
        <f t="shared" si="13"/>
        <v>-50.04663</v>
      </c>
      <c r="J151" s="13" t="s">
        <v>25</v>
      </c>
      <c r="K151" s="30">
        <f>-50046.63/1000</f>
        <v>-50.04663</v>
      </c>
    </row>
    <row r="152" spans="1:11" s="3" customFormat="1" ht="30.75" customHeight="1" x14ac:dyDescent="0.25">
      <c r="A152" s="1"/>
      <c r="B152" s="158"/>
      <c r="C152" s="195" t="s">
        <v>42</v>
      </c>
      <c r="D152" s="179"/>
      <c r="E152" s="13" t="s">
        <v>25</v>
      </c>
      <c r="F152" s="14">
        <f t="shared" si="12"/>
        <v>-43.596392267197601</v>
      </c>
      <c r="G152" s="13" t="s">
        <v>25</v>
      </c>
      <c r="H152" s="29">
        <f>-43596.3922671976/1000</f>
        <v>-43.596392267197601</v>
      </c>
      <c r="I152" s="14">
        <f t="shared" si="13"/>
        <v>-36.542699999999996</v>
      </c>
      <c r="J152" s="13" t="s">
        <v>25</v>
      </c>
      <c r="K152" s="30">
        <f>-36542.7/1000</f>
        <v>-36.542699999999996</v>
      </c>
    </row>
    <row r="153" spans="1:11" s="3" customFormat="1" ht="32.25" customHeight="1" x14ac:dyDescent="0.25">
      <c r="A153" s="1"/>
      <c r="B153" s="158"/>
      <c r="C153" s="195" t="s">
        <v>43</v>
      </c>
      <c r="D153" s="179"/>
      <c r="E153" s="13" t="s">
        <v>25</v>
      </c>
      <c r="F153" s="14">
        <f t="shared" si="12"/>
        <v>-35.335858014199601</v>
      </c>
      <c r="G153" s="13" t="s">
        <v>25</v>
      </c>
      <c r="H153" s="29">
        <f>-35335.8580141996/1000</f>
        <v>-35.335858014199601</v>
      </c>
      <c r="I153" s="23">
        <f t="shared" si="13"/>
        <v>-35.407029999999999</v>
      </c>
      <c r="J153" s="13" t="s">
        <v>25</v>
      </c>
      <c r="K153" s="59">
        <f>-35407.03/1000</f>
        <v>-35.407029999999999</v>
      </c>
    </row>
    <row r="154" spans="1:11" s="3" customFormat="1" ht="31.5" customHeight="1" x14ac:dyDescent="0.25">
      <c r="A154" s="1"/>
      <c r="B154" s="158"/>
      <c r="C154" s="195" t="s">
        <v>44</v>
      </c>
      <c r="D154" s="179"/>
      <c r="E154" s="13" t="s">
        <v>25</v>
      </c>
      <c r="F154" s="14">
        <f t="shared" si="12"/>
        <v>-31.736937098757799</v>
      </c>
      <c r="G154" s="13" t="s">
        <v>25</v>
      </c>
      <c r="H154" s="29">
        <f>-31736.9370987578/1000</f>
        <v>-31.736937098757799</v>
      </c>
      <c r="I154" s="23">
        <f t="shared" si="13"/>
        <v>-29.146979999999999</v>
      </c>
      <c r="J154" s="13" t="s">
        <v>25</v>
      </c>
      <c r="K154" s="59">
        <f>-29146.98/1000</f>
        <v>-29.146979999999999</v>
      </c>
    </row>
    <row r="155" spans="1:11" s="3" customFormat="1" ht="28.5" customHeight="1" x14ac:dyDescent="0.25">
      <c r="A155" s="1"/>
      <c r="B155" s="158"/>
      <c r="C155" s="199" t="s">
        <v>45</v>
      </c>
      <c r="D155" s="176"/>
      <c r="E155" s="26" t="s">
        <v>25</v>
      </c>
      <c r="F155" s="62">
        <f t="shared" si="12"/>
        <v>-24.098530712877199</v>
      </c>
      <c r="G155" s="26" t="s">
        <v>25</v>
      </c>
      <c r="H155" s="63">
        <f>-24098.5307128772/1000</f>
        <v>-24.098530712877199</v>
      </c>
      <c r="I155" s="64">
        <f t="shared" si="13"/>
        <v>0</v>
      </c>
      <c r="J155" s="26" t="s">
        <v>25</v>
      </c>
      <c r="K155" s="65">
        <v>0</v>
      </c>
    </row>
    <row r="156" spans="1:11" s="3" customFormat="1" ht="31.5" hidden="1" customHeight="1" x14ac:dyDescent="0.25">
      <c r="A156" s="1"/>
      <c r="B156" s="156" t="s">
        <v>118</v>
      </c>
      <c r="C156" s="35" t="s">
        <v>26</v>
      </c>
      <c r="D156" s="35" t="s">
        <v>27</v>
      </c>
      <c r="E156" s="35" t="s">
        <v>25</v>
      </c>
      <c r="F156" s="36" t="s">
        <v>25</v>
      </c>
      <c r="G156" s="36"/>
      <c r="H156" s="36"/>
      <c r="I156" s="36">
        <f t="shared" si="13"/>
        <v>0</v>
      </c>
      <c r="J156" s="36"/>
      <c r="K156" s="37"/>
    </row>
    <row r="157" spans="1:11" s="3" customFormat="1" ht="39.75" customHeight="1" x14ac:dyDescent="0.25">
      <c r="A157" s="1"/>
      <c r="B157" s="158"/>
      <c r="C157" s="167" t="s">
        <v>112</v>
      </c>
      <c r="D157" s="176" t="s">
        <v>116</v>
      </c>
      <c r="E157" s="166">
        <f>14884895*1.18/1000</f>
        <v>17564.176099999997</v>
      </c>
      <c r="F157" s="166">
        <f>SUM(H157:H163)</f>
        <v>0</v>
      </c>
      <c r="G157" s="14" t="s">
        <v>25</v>
      </c>
      <c r="H157" s="14" t="s">
        <v>25</v>
      </c>
      <c r="I157" s="166">
        <f>SUM(K157:K163)</f>
        <v>17564.176099999997</v>
      </c>
      <c r="J157" s="166" t="s">
        <v>119</v>
      </c>
      <c r="K157" s="19">
        <v>3129.3712571999999</v>
      </c>
    </row>
    <row r="158" spans="1:11" s="3" customFormat="1" ht="39.75" customHeight="1" x14ac:dyDescent="0.25">
      <c r="A158" s="1"/>
      <c r="B158" s="158"/>
      <c r="C158" s="170"/>
      <c r="D158" s="177"/>
      <c r="E158" s="171"/>
      <c r="F158" s="171"/>
      <c r="G158" s="16" t="s">
        <v>25</v>
      </c>
      <c r="H158" s="16" t="s">
        <v>25</v>
      </c>
      <c r="I158" s="171"/>
      <c r="J158" s="171"/>
      <c r="K158" s="22">
        <v>2750.1007075999996</v>
      </c>
    </row>
    <row r="159" spans="1:11" s="3" customFormat="1" ht="39.75" customHeight="1" x14ac:dyDescent="0.25">
      <c r="A159" s="1"/>
      <c r="B159" s="158"/>
      <c r="C159" s="170"/>
      <c r="D159" s="177"/>
      <c r="E159" s="171"/>
      <c r="F159" s="171"/>
      <c r="G159" s="16" t="s">
        <v>25</v>
      </c>
      <c r="H159" s="16" t="s">
        <v>25</v>
      </c>
      <c r="I159" s="171"/>
      <c r="J159" s="171"/>
      <c r="K159" s="22">
        <v>5517.9075629999988</v>
      </c>
    </row>
    <row r="160" spans="1:11" s="3" customFormat="1" ht="39.75" customHeight="1" x14ac:dyDescent="0.25">
      <c r="A160" s="1"/>
      <c r="B160" s="158"/>
      <c r="C160" s="170"/>
      <c r="D160" s="177"/>
      <c r="E160" s="171"/>
      <c r="F160" s="171"/>
      <c r="G160" s="16" t="s">
        <v>25</v>
      </c>
      <c r="H160" s="16" t="s">
        <v>25</v>
      </c>
      <c r="I160" s="171"/>
      <c r="J160" s="171"/>
      <c r="K160" s="22">
        <v>1283.2298809999998</v>
      </c>
    </row>
    <row r="161" spans="1:11" s="3" customFormat="1" ht="39.75" customHeight="1" x14ac:dyDescent="0.25">
      <c r="A161" s="1"/>
      <c r="B161" s="158"/>
      <c r="C161" s="170"/>
      <c r="D161" s="177"/>
      <c r="E161" s="171"/>
      <c r="F161" s="171"/>
      <c r="G161" s="16" t="s">
        <v>25</v>
      </c>
      <c r="H161" s="16" t="s">
        <v>25</v>
      </c>
      <c r="I161" s="171"/>
      <c r="J161" s="171"/>
      <c r="K161" s="22">
        <v>4853.6456553999997</v>
      </c>
    </row>
    <row r="162" spans="1:11" s="3" customFormat="1" ht="33" customHeight="1" x14ac:dyDescent="0.25">
      <c r="A162" s="1"/>
      <c r="B162" s="158"/>
      <c r="C162" s="170"/>
      <c r="D162" s="177"/>
      <c r="E162" s="171"/>
      <c r="F162" s="171"/>
      <c r="G162" s="16"/>
      <c r="H162" s="16"/>
      <c r="I162" s="171"/>
      <c r="J162" s="152"/>
      <c r="K162" s="22">
        <f>25356.81*1.18/1000</f>
        <v>29.921035800000002</v>
      </c>
    </row>
    <row r="163" spans="1:11" s="3" customFormat="1" ht="33" hidden="1" customHeight="1" x14ac:dyDescent="0.25">
      <c r="A163" s="1"/>
      <c r="B163" s="158"/>
      <c r="C163" s="160"/>
      <c r="D163" s="162"/>
      <c r="E163" s="152"/>
      <c r="F163" s="152"/>
      <c r="G163" s="16"/>
      <c r="H163" s="16"/>
      <c r="I163" s="152"/>
      <c r="J163" s="16"/>
      <c r="K163" s="22"/>
    </row>
    <row r="164" spans="1:11" s="3" customFormat="1" ht="30.75" customHeight="1" x14ac:dyDescent="0.25">
      <c r="A164" s="1"/>
      <c r="B164" s="158"/>
      <c r="C164" s="178" t="s">
        <v>40</v>
      </c>
      <c r="D164" s="179"/>
      <c r="E164" s="13" t="s">
        <v>25</v>
      </c>
      <c r="F164" s="14">
        <f t="shared" si="12"/>
        <v>49.382745600892306</v>
      </c>
      <c r="G164" s="13" t="s">
        <v>25</v>
      </c>
      <c r="H164" s="14">
        <f>49382.7456008923/1000</f>
        <v>49.382745600892306</v>
      </c>
      <c r="I164" s="14">
        <f t="shared" si="13"/>
        <v>45.471199999999996</v>
      </c>
      <c r="J164" s="13" t="s">
        <v>25</v>
      </c>
      <c r="K164" s="19">
        <f>45471.2/1000</f>
        <v>45.471199999999996</v>
      </c>
    </row>
    <row r="165" spans="1:11" s="3" customFormat="1" ht="30.75" customHeight="1" x14ac:dyDescent="0.25">
      <c r="A165" s="1"/>
      <c r="B165" s="158"/>
      <c r="C165" s="178" t="s">
        <v>41</v>
      </c>
      <c r="D165" s="179"/>
      <c r="E165" s="26" t="s">
        <v>25</v>
      </c>
      <c r="F165" s="14">
        <f t="shared" si="12"/>
        <v>51.661205073137197</v>
      </c>
      <c r="G165" s="13" t="s">
        <v>25</v>
      </c>
      <c r="H165" s="14">
        <f>51661.2050731372/1000</f>
        <v>51.661205073137197</v>
      </c>
      <c r="I165" s="14">
        <f t="shared" si="13"/>
        <v>51.449550000000002</v>
      </c>
      <c r="J165" s="13" t="s">
        <v>25</v>
      </c>
      <c r="K165" s="19">
        <f>51449.55/1000</f>
        <v>51.449550000000002</v>
      </c>
    </row>
    <row r="166" spans="1:11" s="3" customFormat="1" ht="30.75" customHeight="1" x14ac:dyDescent="0.25">
      <c r="A166" s="1"/>
      <c r="B166" s="158"/>
      <c r="C166" s="178" t="s">
        <v>42</v>
      </c>
      <c r="D166" s="179"/>
      <c r="E166" s="13" t="s">
        <v>25</v>
      </c>
      <c r="F166" s="14">
        <f t="shared" si="12"/>
        <v>44.642602562456297</v>
      </c>
      <c r="G166" s="13" t="s">
        <v>25</v>
      </c>
      <c r="H166" s="14">
        <f>44642.6025624563/1000</f>
        <v>44.642602562456297</v>
      </c>
      <c r="I166" s="14">
        <f t="shared" si="13"/>
        <v>36.855249999999998</v>
      </c>
      <c r="J166" s="13" t="s">
        <v>25</v>
      </c>
      <c r="K166" s="19">
        <f>36855.25/1000</f>
        <v>36.855249999999998</v>
      </c>
    </row>
    <row r="167" spans="1:11" s="3" customFormat="1" ht="32.25" customHeight="1" x14ac:dyDescent="0.25">
      <c r="A167" s="1"/>
      <c r="B167" s="158"/>
      <c r="C167" s="178" t="s">
        <v>43</v>
      </c>
      <c r="D167" s="179"/>
      <c r="E167" s="13" t="s">
        <v>25</v>
      </c>
      <c r="F167" s="14">
        <f t="shared" si="12"/>
        <v>35.5641421735777</v>
      </c>
      <c r="G167" s="13" t="s">
        <v>25</v>
      </c>
      <c r="H167" s="14">
        <f>35564.1421735777/1000</f>
        <v>35.5641421735777</v>
      </c>
      <c r="I167" s="23">
        <f t="shared" si="13"/>
        <v>35.407019999999996</v>
      </c>
      <c r="J167" s="13" t="s">
        <v>25</v>
      </c>
      <c r="K167" s="39">
        <f>35407.02/1000</f>
        <v>35.407019999999996</v>
      </c>
    </row>
    <row r="168" spans="1:11" s="3" customFormat="1" ht="31.5" customHeight="1" x14ac:dyDescent="0.25">
      <c r="A168" s="1"/>
      <c r="B168" s="158"/>
      <c r="C168" s="178" t="s">
        <v>44</v>
      </c>
      <c r="D168" s="179"/>
      <c r="E168" s="13" t="s">
        <v>25</v>
      </c>
      <c r="F168" s="14">
        <f t="shared" si="12"/>
        <v>31.736937098757799</v>
      </c>
      <c r="G168" s="13" t="s">
        <v>25</v>
      </c>
      <c r="H168" s="14">
        <f>31736.9370987578/1000</f>
        <v>31.736937098757799</v>
      </c>
      <c r="I168" s="23">
        <f t="shared" si="13"/>
        <v>29.146979999999999</v>
      </c>
      <c r="J168" s="13" t="s">
        <v>25</v>
      </c>
      <c r="K168" s="39">
        <f>29146.98/1000</f>
        <v>29.146979999999999</v>
      </c>
    </row>
    <row r="169" spans="1:11" ht="31.5" customHeight="1" x14ac:dyDescent="0.25">
      <c r="A169" s="1"/>
      <c r="B169" s="158"/>
      <c r="C169" s="178" t="s">
        <v>45</v>
      </c>
      <c r="D169" s="179"/>
      <c r="E169" s="13" t="s">
        <v>25</v>
      </c>
      <c r="F169" s="14">
        <f t="shared" si="12"/>
        <v>24.098530712877199</v>
      </c>
      <c r="G169" s="13" t="s">
        <v>25</v>
      </c>
      <c r="H169" s="14">
        <f>24098.5307128772/1000</f>
        <v>24.098530712877199</v>
      </c>
      <c r="I169" s="23">
        <f t="shared" si="13"/>
        <v>0</v>
      </c>
      <c r="J169" s="13" t="s">
        <v>25</v>
      </c>
      <c r="K169" s="39">
        <v>0</v>
      </c>
    </row>
    <row r="170" spans="1:11" s="3" customFormat="1" ht="30.75" customHeight="1" x14ac:dyDescent="0.25">
      <c r="A170" s="1"/>
      <c r="B170" s="158"/>
      <c r="C170" s="184" t="s">
        <v>40</v>
      </c>
      <c r="D170" s="177"/>
      <c r="E170" s="15" t="s">
        <v>25</v>
      </c>
      <c r="F170" s="16">
        <f t="shared" si="12"/>
        <v>-49.382745600892306</v>
      </c>
      <c r="G170" s="15" t="s">
        <v>25</v>
      </c>
      <c r="H170" s="27">
        <f>-49382.7456008923/1000</f>
        <v>-49.382745600892306</v>
      </c>
      <c r="I170" s="16">
        <f t="shared" si="13"/>
        <v>-45.471199999999996</v>
      </c>
      <c r="J170" s="15" t="s">
        <v>25</v>
      </c>
      <c r="K170" s="28">
        <f>-45471.2/1000</f>
        <v>-45.471199999999996</v>
      </c>
    </row>
    <row r="171" spans="1:11" s="3" customFormat="1" ht="30.75" customHeight="1" x14ac:dyDescent="0.25">
      <c r="A171" s="1"/>
      <c r="B171" s="158"/>
      <c r="C171" s="178" t="s">
        <v>41</v>
      </c>
      <c r="D171" s="179"/>
      <c r="E171" s="26" t="s">
        <v>25</v>
      </c>
      <c r="F171" s="14">
        <f t="shared" si="12"/>
        <v>-51.661205073137197</v>
      </c>
      <c r="G171" s="13" t="s">
        <v>25</v>
      </c>
      <c r="H171" s="29">
        <f>-51661.2050731372/1000</f>
        <v>-51.661205073137197</v>
      </c>
      <c r="I171" s="14">
        <f t="shared" si="13"/>
        <v>-51.449550000000002</v>
      </c>
      <c r="J171" s="13" t="s">
        <v>25</v>
      </c>
      <c r="K171" s="30">
        <f>-51449.55/1000</f>
        <v>-51.449550000000002</v>
      </c>
    </row>
    <row r="172" spans="1:11" s="3" customFormat="1" ht="30.75" customHeight="1" x14ac:dyDescent="0.25">
      <c r="A172" s="1"/>
      <c r="B172" s="158"/>
      <c r="C172" s="178" t="s">
        <v>42</v>
      </c>
      <c r="D172" s="179"/>
      <c r="E172" s="13" t="s">
        <v>25</v>
      </c>
      <c r="F172" s="14">
        <f t="shared" si="12"/>
        <v>-44.642602562456297</v>
      </c>
      <c r="G172" s="13" t="s">
        <v>25</v>
      </c>
      <c r="H172" s="29">
        <f>-44642.6025624563/1000</f>
        <v>-44.642602562456297</v>
      </c>
      <c r="I172" s="14">
        <f t="shared" si="13"/>
        <v>-36.855249999999998</v>
      </c>
      <c r="J172" s="13" t="s">
        <v>25</v>
      </c>
      <c r="K172" s="30">
        <f>-36855.25/1000</f>
        <v>-36.855249999999998</v>
      </c>
    </row>
    <row r="173" spans="1:11" s="3" customFormat="1" ht="32.25" customHeight="1" x14ac:dyDescent="0.25">
      <c r="A173" s="1"/>
      <c r="B173" s="158"/>
      <c r="C173" s="178" t="s">
        <v>43</v>
      </c>
      <c r="D173" s="179"/>
      <c r="E173" s="13" t="s">
        <v>25</v>
      </c>
      <c r="F173" s="14">
        <f t="shared" si="12"/>
        <v>-35.5641421735777</v>
      </c>
      <c r="G173" s="13" t="s">
        <v>25</v>
      </c>
      <c r="H173" s="29">
        <f>-35564.1421735777/1000</f>
        <v>-35.5641421735777</v>
      </c>
      <c r="I173" s="23">
        <f t="shared" si="13"/>
        <v>-35.407019999999996</v>
      </c>
      <c r="J173" s="13" t="s">
        <v>25</v>
      </c>
      <c r="K173" s="59">
        <f>-35407.02/1000</f>
        <v>-35.407019999999996</v>
      </c>
    </row>
    <row r="174" spans="1:11" s="3" customFormat="1" ht="31.5" customHeight="1" x14ac:dyDescent="0.25">
      <c r="A174" s="1"/>
      <c r="B174" s="158"/>
      <c r="C174" s="178" t="s">
        <v>44</v>
      </c>
      <c r="D174" s="179"/>
      <c r="E174" s="13" t="s">
        <v>25</v>
      </c>
      <c r="F174" s="14">
        <f t="shared" si="12"/>
        <v>-31.736937098757799</v>
      </c>
      <c r="G174" s="13" t="s">
        <v>25</v>
      </c>
      <c r="H174" s="29">
        <f>-31736.9370987578/1000</f>
        <v>-31.736937098757799</v>
      </c>
      <c r="I174" s="23">
        <f t="shared" si="13"/>
        <v>-29.146979999999999</v>
      </c>
      <c r="J174" s="13" t="s">
        <v>25</v>
      </c>
      <c r="K174" s="59">
        <f>-29146.98/1000</f>
        <v>-29.146979999999999</v>
      </c>
    </row>
    <row r="175" spans="1:11" ht="31.5" customHeight="1" thickBot="1" x14ac:dyDescent="0.3">
      <c r="A175" s="1"/>
      <c r="B175" s="157"/>
      <c r="C175" s="191" t="s">
        <v>45</v>
      </c>
      <c r="D175" s="192"/>
      <c r="E175" s="66" t="s">
        <v>25</v>
      </c>
      <c r="F175" s="52">
        <f t="shared" si="12"/>
        <v>-24.098530712877199</v>
      </c>
      <c r="G175" s="66" t="s">
        <v>25</v>
      </c>
      <c r="H175" s="67">
        <f>-24098.5307128772/1000</f>
        <v>-24.098530712877199</v>
      </c>
      <c r="I175" s="68">
        <f t="shared" si="13"/>
        <v>0</v>
      </c>
      <c r="J175" s="66" t="s">
        <v>25</v>
      </c>
      <c r="K175" s="69">
        <v>0</v>
      </c>
    </row>
    <row r="176" spans="1:11" ht="53.25" customHeight="1" thickBot="1" x14ac:dyDescent="0.3">
      <c r="A176" s="1"/>
      <c r="B176" s="70" t="s">
        <v>120</v>
      </c>
      <c r="C176" s="43" t="s">
        <v>121</v>
      </c>
      <c r="D176" s="71" t="s">
        <v>27</v>
      </c>
      <c r="E176" s="43" t="s">
        <v>25</v>
      </c>
      <c r="F176" s="44">
        <f t="shared" si="12"/>
        <v>125.29077000000001</v>
      </c>
      <c r="G176" s="43" t="s">
        <v>122</v>
      </c>
      <c r="H176" s="72">
        <f>K176</f>
        <v>125.29077000000001</v>
      </c>
      <c r="I176" s="45">
        <f t="shared" si="13"/>
        <v>125.29077000000001</v>
      </c>
      <c r="J176" s="43" t="s">
        <v>123</v>
      </c>
      <c r="K176" s="73">
        <f>125290.77/1000</f>
        <v>125.29077000000001</v>
      </c>
    </row>
    <row r="177" spans="1:11" ht="53.25" customHeight="1" thickBot="1" x14ac:dyDescent="0.3">
      <c r="A177" s="1"/>
      <c r="B177" s="70" t="s">
        <v>124</v>
      </c>
      <c r="C177" s="74" t="s">
        <v>121</v>
      </c>
      <c r="D177" s="71" t="s">
        <v>27</v>
      </c>
      <c r="E177" s="43" t="s">
        <v>25</v>
      </c>
      <c r="F177" s="75">
        <f t="shared" si="12"/>
        <v>94.917249999999996</v>
      </c>
      <c r="G177" s="74" t="s">
        <v>122</v>
      </c>
      <c r="H177" s="76">
        <f>K177</f>
        <v>94.917249999999996</v>
      </c>
      <c r="I177" s="77">
        <f t="shared" si="13"/>
        <v>94.917249999999996</v>
      </c>
      <c r="J177" s="74" t="s">
        <v>123</v>
      </c>
      <c r="K177" s="78">
        <f>94917.25/1000</f>
        <v>94.917249999999996</v>
      </c>
    </row>
    <row r="178" spans="1:11" ht="53.25" customHeight="1" thickBot="1" x14ac:dyDescent="0.3">
      <c r="A178" s="1"/>
      <c r="B178" s="70" t="s">
        <v>125</v>
      </c>
      <c r="C178" s="74" t="s">
        <v>121</v>
      </c>
      <c r="D178" s="71" t="s">
        <v>27</v>
      </c>
      <c r="E178" s="43" t="s">
        <v>25</v>
      </c>
      <c r="F178" s="75">
        <f t="shared" si="12"/>
        <v>94.917249999999996</v>
      </c>
      <c r="G178" s="74" t="s">
        <v>122</v>
      </c>
      <c r="H178" s="76">
        <f>K178</f>
        <v>94.917249999999996</v>
      </c>
      <c r="I178" s="77">
        <f t="shared" si="13"/>
        <v>94.917249999999996</v>
      </c>
      <c r="J178" s="74" t="s">
        <v>123</v>
      </c>
      <c r="K178" s="78">
        <f>94917.25/1000</f>
        <v>94.917249999999996</v>
      </c>
    </row>
    <row r="179" spans="1:11" ht="53.25" customHeight="1" thickBot="1" x14ac:dyDescent="0.3">
      <c r="A179" s="1"/>
      <c r="B179" s="70" t="s">
        <v>126</v>
      </c>
      <c r="C179" s="74" t="s">
        <v>121</v>
      </c>
      <c r="D179" s="71" t="s">
        <v>27</v>
      </c>
      <c r="E179" s="43" t="s">
        <v>25</v>
      </c>
      <c r="F179" s="44">
        <f t="shared" si="12"/>
        <v>64.543720000000008</v>
      </c>
      <c r="G179" s="15" t="s">
        <v>122</v>
      </c>
      <c r="H179" s="79">
        <f>K179</f>
        <v>64.543720000000008</v>
      </c>
      <c r="I179" s="45">
        <f t="shared" si="13"/>
        <v>64.543720000000008</v>
      </c>
      <c r="J179" s="43" t="s">
        <v>123</v>
      </c>
      <c r="K179" s="73">
        <f>64543.72/1000</f>
        <v>64.543720000000008</v>
      </c>
    </row>
    <row r="180" spans="1:11" ht="48.75" customHeight="1" x14ac:dyDescent="0.25">
      <c r="A180" s="1"/>
      <c r="B180" s="156" t="s">
        <v>127</v>
      </c>
      <c r="C180" s="159" t="s">
        <v>128</v>
      </c>
      <c r="D180" s="159" t="s">
        <v>129</v>
      </c>
      <c r="E180" s="172">
        <f>449957.6/1000</f>
        <v>449.95759999999996</v>
      </c>
      <c r="F180" s="151">
        <f>H180+H181</f>
        <v>449.95760000000001</v>
      </c>
      <c r="G180" s="80" t="s">
        <v>130</v>
      </c>
      <c r="H180" s="36">
        <f>K180+K181-H181</f>
        <v>172.49900000000002</v>
      </c>
      <c r="I180" s="151">
        <f>K180+K181</f>
        <v>449.95760000000001</v>
      </c>
      <c r="J180" s="151" t="s">
        <v>131</v>
      </c>
      <c r="K180" s="37">
        <f>299979.6/1000</f>
        <v>299.9796</v>
      </c>
    </row>
    <row r="181" spans="1:11" ht="30" customHeight="1" thickBot="1" x14ac:dyDescent="0.3">
      <c r="A181" s="1"/>
      <c r="B181" s="157"/>
      <c r="C181" s="168"/>
      <c r="D181" s="168"/>
      <c r="E181" s="198"/>
      <c r="F181" s="169"/>
      <c r="G181" s="81" t="s">
        <v>132</v>
      </c>
      <c r="H181" s="44">
        <f>277458.6/1000</f>
        <v>277.45859999999999</v>
      </c>
      <c r="I181" s="169"/>
      <c r="J181" s="169"/>
      <c r="K181" s="82">
        <f>149978/1000</f>
        <v>149.97800000000001</v>
      </c>
    </row>
    <row r="182" spans="1:11" s="3" customFormat="1" ht="16.5" customHeight="1" thickBot="1" x14ac:dyDescent="0.3">
      <c r="A182" s="1"/>
      <c r="B182" s="83"/>
      <c r="C182" s="84"/>
      <c r="D182" s="84"/>
      <c r="E182" s="84"/>
      <c r="F182" s="84"/>
      <c r="G182" s="84"/>
      <c r="H182" s="84"/>
      <c r="I182" s="84"/>
      <c r="J182" s="84"/>
      <c r="K182" s="85"/>
    </row>
    <row r="183" spans="1:11" s="3" customFormat="1" ht="45" customHeight="1" x14ac:dyDescent="0.25">
      <c r="A183" s="1"/>
      <c r="B183" s="182" t="s">
        <v>133</v>
      </c>
      <c r="C183" s="35" t="s">
        <v>21</v>
      </c>
      <c r="D183" s="35" t="s">
        <v>22</v>
      </c>
      <c r="E183" s="35" t="s">
        <v>23</v>
      </c>
      <c r="F183" s="36">
        <f>H183</f>
        <v>150</v>
      </c>
      <c r="G183" s="36" t="s">
        <v>134</v>
      </c>
      <c r="H183" s="36">
        <f>150000/1000</f>
        <v>150</v>
      </c>
      <c r="I183" s="53" t="str">
        <f t="shared" ref="I183:I198" si="14">K183</f>
        <v>__</v>
      </c>
      <c r="J183" s="36" t="s">
        <v>25</v>
      </c>
      <c r="K183" s="37" t="s">
        <v>25</v>
      </c>
    </row>
    <row r="184" spans="1:11" s="3" customFormat="1" ht="45" x14ac:dyDescent="0.25">
      <c r="A184" s="1"/>
      <c r="B184" s="183"/>
      <c r="C184" s="13" t="s">
        <v>26</v>
      </c>
      <c r="D184" s="13" t="s">
        <v>27</v>
      </c>
      <c r="E184" s="14" t="s">
        <v>25</v>
      </c>
      <c r="F184" s="14">
        <f t="shared" ref="F184:F198" si="15">H184</f>
        <v>143.3400044</v>
      </c>
      <c r="G184" s="14" t="s">
        <v>135</v>
      </c>
      <c r="H184" s="23">
        <f>143340.0044/1000</f>
        <v>143.3400044</v>
      </c>
      <c r="I184" s="23">
        <f t="shared" si="14"/>
        <v>143.34</v>
      </c>
      <c r="J184" s="14" t="s">
        <v>136</v>
      </c>
      <c r="K184" s="39">
        <f>143340/1000</f>
        <v>143.34</v>
      </c>
    </row>
    <row r="185" spans="1:11" s="3" customFormat="1" ht="45" x14ac:dyDescent="0.25">
      <c r="A185" s="1"/>
      <c r="B185" s="183"/>
      <c r="C185" s="13" t="s">
        <v>137</v>
      </c>
      <c r="D185" s="21" t="s">
        <v>138</v>
      </c>
      <c r="E185" s="14">
        <v>596.25</v>
      </c>
      <c r="F185" s="14">
        <f t="shared" si="15"/>
        <v>596.25</v>
      </c>
      <c r="G185" s="14" t="s">
        <v>139</v>
      </c>
      <c r="H185" s="23">
        <f>596250/1000</f>
        <v>596.25</v>
      </c>
      <c r="I185" s="23">
        <f t="shared" si="14"/>
        <v>596.25</v>
      </c>
      <c r="J185" s="14" t="s">
        <v>140</v>
      </c>
      <c r="K185" s="39">
        <f>596250/1000</f>
        <v>596.25</v>
      </c>
    </row>
    <row r="186" spans="1:11" s="3" customFormat="1" ht="34.5" customHeight="1" x14ac:dyDescent="0.25">
      <c r="A186" s="1"/>
      <c r="B186" s="183"/>
      <c r="C186" s="167" t="s">
        <v>141</v>
      </c>
      <c r="D186" s="167" t="s">
        <v>142</v>
      </c>
      <c r="E186" s="166">
        <v>2740.83</v>
      </c>
      <c r="F186" s="166">
        <f>SUM(H186:H188)</f>
        <v>0</v>
      </c>
      <c r="G186" s="14" t="s">
        <v>25</v>
      </c>
      <c r="H186" s="23" t="s">
        <v>25</v>
      </c>
      <c r="I186" s="166">
        <f>SUM(K186:K188)</f>
        <v>1673.5243800000001</v>
      </c>
      <c r="J186" s="14" t="s">
        <v>143</v>
      </c>
      <c r="K186" s="39">
        <v>737.21208000000001</v>
      </c>
    </row>
    <row r="187" spans="1:11" s="3" customFormat="1" ht="34.5" customHeight="1" x14ac:dyDescent="0.25">
      <c r="A187" s="1"/>
      <c r="B187" s="183"/>
      <c r="C187" s="170"/>
      <c r="D187" s="170"/>
      <c r="E187" s="171"/>
      <c r="F187" s="171"/>
      <c r="G187" s="14" t="s">
        <v>25</v>
      </c>
      <c r="H187" s="23" t="s">
        <v>25</v>
      </c>
      <c r="I187" s="171"/>
      <c r="J187" s="14" t="s">
        <v>144</v>
      </c>
      <c r="K187" s="41">
        <v>936.31230000000005</v>
      </c>
    </row>
    <row r="188" spans="1:11" s="3" customFormat="1" ht="34.5" hidden="1" customHeight="1" x14ac:dyDescent="0.25">
      <c r="A188" s="1"/>
      <c r="B188" s="183"/>
      <c r="C188" s="160"/>
      <c r="D188" s="160"/>
      <c r="E188" s="152"/>
      <c r="F188" s="152"/>
      <c r="G188" s="14"/>
      <c r="H188" s="23"/>
      <c r="I188" s="152"/>
      <c r="J188" s="14"/>
      <c r="K188" s="41"/>
    </row>
    <row r="189" spans="1:11" s="3" customFormat="1" ht="48.75" customHeight="1" x14ac:dyDescent="0.25">
      <c r="A189" s="1"/>
      <c r="B189" s="183"/>
      <c r="C189" s="175" t="s">
        <v>145</v>
      </c>
      <c r="D189" s="175"/>
      <c r="E189" s="14" t="s">
        <v>25</v>
      </c>
      <c r="F189" s="14" t="str">
        <f t="shared" si="15"/>
        <v>__</v>
      </c>
      <c r="G189" s="14" t="s">
        <v>25</v>
      </c>
      <c r="H189" s="14" t="s">
        <v>25</v>
      </c>
      <c r="I189" s="14">
        <f t="shared" si="14"/>
        <v>1338.6924769999998</v>
      </c>
      <c r="J189" s="14" t="s">
        <v>25</v>
      </c>
      <c r="K189" s="22">
        <v>1338.6924769999998</v>
      </c>
    </row>
    <row r="190" spans="1:11" s="3" customFormat="1" ht="48.75" customHeight="1" x14ac:dyDescent="0.25">
      <c r="A190" s="1"/>
      <c r="B190" s="183"/>
      <c r="C190" s="175" t="s">
        <v>146</v>
      </c>
      <c r="D190" s="175"/>
      <c r="E190" s="14" t="s">
        <v>25</v>
      </c>
      <c r="F190" s="14" t="str">
        <f>H190</f>
        <v>__</v>
      </c>
      <c r="G190" s="14" t="s">
        <v>25</v>
      </c>
      <c r="H190" s="14" t="s">
        <v>25</v>
      </c>
      <c r="I190" s="14">
        <f t="shared" si="14"/>
        <v>946.74149399999999</v>
      </c>
      <c r="J190" s="14" t="s">
        <v>25</v>
      </c>
      <c r="K190" s="22">
        <v>946.74149399999999</v>
      </c>
    </row>
    <row r="191" spans="1:11" s="3" customFormat="1" ht="48" customHeight="1" x14ac:dyDescent="0.25">
      <c r="A191" s="1"/>
      <c r="B191" s="183"/>
      <c r="C191" s="13" t="s">
        <v>26</v>
      </c>
      <c r="D191" s="13" t="s">
        <v>27</v>
      </c>
      <c r="E191" s="14" t="s">
        <v>25</v>
      </c>
      <c r="F191" s="14">
        <f t="shared" si="15"/>
        <v>793.05561539999997</v>
      </c>
      <c r="G191" s="13" t="s">
        <v>38</v>
      </c>
      <c r="H191" s="23">
        <f>518.7546444+274.300971</f>
        <v>793.05561539999997</v>
      </c>
      <c r="I191" s="23">
        <f t="shared" si="14"/>
        <v>793.05561539999997</v>
      </c>
      <c r="J191" s="14" t="s">
        <v>39</v>
      </c>
      <c r="K191" s="39">
        <v>793.05561539999997</v>
      </c>
    </row>
    <row r="192" spans="1:11" s="3" customFormat="1" ht="48" customHeight="1" x14ac:dyDescent="0.25">
      <c r="A192" s="1"/>
      <c r="B192" s="183"/>
      <c r="C192" s="13" t="s">
        <v>26</v>
      </c>
      <c r="D192" s="13" t="s">
        <v>27</v>
      </c>
      <c r="E192" s="14" t="s">
        <v>25</v>
      </c>
      <c r="F192" s="14">
        <f t="shared" si="15"/>
        <v>714.25372860000004</v>
      </c>
      <c r="G192" s="13" t="s">
        <v>38</v>
      </c>
      <c r="H192" s="23">
        <v>714.25372860000004</v>
      </c>
      <c r="I192" s="23" t="str">
        <f t="shared" si="14"/>
        <v>__</v>
      </c>
      <c r="J192" s="14" t="s">
        <v>25</v>
      </c>
      <c r="K192" s="39" t="s">
        <v>25</v>
      </c>
    </row>
    <row r="193" spans="1:11" s="3" customFormat="1" ht="31.5" customHeight="1" x14ac:dyDescent="0.25">
      <c r="A193" s="1"/>
      <c r="B193" s="183"/>
      <c r="C193" s="178" t="s">
        <v>147</v>
      </c>
      <c r="D193" s="179"/>
      <c r="E193" s="13" t="s">
        <v>25</v>
      </c>
      <c r="F193" s="14">
        <f t="shared" si="15"/>
        <v>25.7105892361967</v>
      </c>
      <c r="G193" s="13" t="s">
        <v>25</v>
      </c>
      <c r="H193" s="14">
        <f>25710.5892361967/1000</f>
        <v>25.7105892361967</v>
      </c>
      <c r="I193" s="23">
        <f t="shared" si="14"/>
        <v>84.116169999999997</v>
      </c>
      <c r="J193" s="13" t="s">
        <v>25</v>
      </c>
      <c r="K193" s="39">
        <f>84116.17/1000</f>
        <v>84.116169999999997</v>
      </c>
    </row>
    <row r="194" spans="1:11" s="3" customFormat="1" ht="37.5" customHeight="1" x14ac:dyDescent="0.25">
      <c r="A194" s="1"/>
      <c r="B194" s="183"/>
      <c r="C194" s="178" t="s">
        <v>148</v>
      </c>
      <c r="D194" s="179"/>
      <c r="E194" s="13" t="s">
        <v>25</v>
      </c>
      <c r="F194" s="14">
        <f t="shared" si="15"/>
        <v>75.398941447071806</v>
      </c>
      <c r="G194" s="13" t="s">
        <v>25</v>
      </c>
      <c r="H194" s="14">
        <f>75398.9414470718/1000</f>
        <v>75.398941447071806</v>
      </c>
      <c r="I194" s="23">
        <f t="shared" si="14"/>
        <v>67.770089999999996</v>
      </c>
      <c r="J194" s="13" t="s">
        <v>25</v>
      </c>
      <c r="K194" s="39">
        <f>67770.09/1000</f>
        <v>67.770089999999996</v>
      </c>
    </row>
    <row r="195" spans="1:11" s="3" customFormat="1" ht="31.5" customHeight="1" x14ac:dyDescent="0.25">
      <c r="A195" s="1"/>
      <c r="B195" s="183"/>
      <c r="C195" s="178" t="s">
        <v>147</v>
      </c>
      <c r="D195" s="179"/>
      <c r="E195" s="13" t="s">
        <v>25</v>
      </c>
      <c r="F195" s="14">
        <f t="shared" si="15"/>
        <v>-25.7105892361967</v>
      </c>
      <c r="G195" s="13" t="s">
        <v>25</v>
      </c>
      <c r="H195" s="29">
        <f>-25710.5892361967/1000</f>
        <v>-25.7105892361967</v>
      </c>
      <c r="I195" s="23">
        <f t="shared" si="14"/>
        <v>-84.116169999999997</v>
      </c>
      <c r="J195" s="13" t="s">
        <v>25</v>
      </c>
      <c r="K195" s="59">
        <f>-84116.17/1000</f>
        <v>-84.116169999999997</v>
      </c>
    </row>
    <row r="196" spans="1:11" s="3" customFormat="1" ht="37.5" customHeight="1" thickBot="1" x14ac:dyDescent="0.3">
      <c r="A196" s="1"/>
      <c r="B196" s="183"/>
      <c r="C196" s="178" t="s">
        <v>148</v>
      </c>
      <c r="D196" s="179"/>
      <c r="E196" s="13" t="s">
        <v>25</v>
      </c>
      <c r="F196" s="14">
        <f t="shared" si="15"/>
        <v>-75.398941447071806</v>
      </c>
      <c r="G196" s="13" t="s">
        <v>25</v>
      </c>
      <c r="H196" s="29">
        <f>-75398.9414470718/1000</f>
        <v>-75.398941447071806</v>
      </c>
      <c r="I196" s="23">
        <f t="shared" si="14"/>
        <v>-67.770089999999996</v>
      </c>
      <c r="J196" s="13" t="s">
        <v>25</v>
      </c>
      <c r="K196" s="59">
        <f>-67770.09/1000</f>
        <v>-67.770089999999996</v>
      </c>
    </row>
    <row r="197" spans="1:11" s="3" customFormat="1" ht="28.5" customHeight="1" x14ac:dyDescent="0.25">
      <c r="A197" s="1"/>
      <c r="B197" s="182" t="s">
        <v>149</v>
      </c>
      <c r="C197" s="35" t="s">
        <v>21</v>
      </c>
      <c r="D197" s="35" t="s">
        <v>22</v>
      </c>
      <c r="E197" s="35" t="s">
        <v>23</v>
      </c>
      <c r="F197" s="36">
        <f t="shared" si="15"/>
        <v>300</v>
      </c>
      <c r="G197" s="36" t="s">
        <v>150</v>
      </c>
      <c r="H197" s="36">
        <f>300000/1000</f>
        <v>300</v>
      </c>
      <c r="I197" s="53" t="str">
        <f t="shared" si="14"/>
        <v>__</v>
      </c>
      <c r="J197" s="36" t="s">
        <v>25</v>
      </c>
      <c r="K197" s="37" t="s">
        <v>25</v>
      </c>
    </row>
    <row r="198" spans="1:11" s="3" customFormat="1" ht="28.5" customHeight="1" thickBot="1" x14ac:dyDescent="0.3">
      <c r="A198" s="1"/>
      <c r="B198" s="183"/>
      <c r="C198" s="13" t="s">
        <v>151</v>
      </c>
      <c r="D198" s="13" t="s">
        <v>152</v>
      </c>
      <c r="E198" s="23">
        <f>1221300/1000</f>
        <v>1221.3</v>
      </c>
      <c r="F198" s="14">
        <f t="shared" si="15"/>
        <v>246.73995000000002</v>
      </c>
      <c r="G198" s="14" t="s">
        <v>153</v>
      </c>
      <c r="H198" s="14">
        <f>246739.95/1000</f>
        <v>246.73995000000002</v>
      </c>
      <c r="I198" s="25" t="str">
        <f t="shared" si="14"/>
        <v>__</v>
      </c>
      <c r="J198" s="14" t="s">
        <v>25</v>
      </c>
      <c r="K198" s="19" t="s">
        <v>25</v>
      </c>
    </row>
    <row r="199" spans="1:11" s="3" customFormat="1" ht="16.5" thickBot="1" x14ac:dyDescent="0.3">
      <c r="A199" s="1"/>
      <c r="B199" s="86" t="s">
        <v>154</v>
      </c>
      <c r="C199" s="87"/>
      <c r="D199" s="87"/>
      <c r="E199" s="87"/>
      <c r="F199" s="88">
        <f>SUM(F7:F198)</f>
        <v>42468.014230799999</v>
      </c>
      <c r="G199" s="74"/>
      <c r="H199" s="88">
        <f>SUM(H7:H198)</f>
        <v>42468.014230799999</v>
      </c>
      <c r="I199" s="88">
        <f>SUM(I7:I198)</f>
        <v>80985.051749999984</v>
      </c>
      <c r="J199" s="88"/>
      <c r="K199" s="89">
        <f>SUM(K7:K198)</f>
        <v>80985.051750000013</v>
      </c>
    </row>
    <row r="200" spans="1:11" s="3" customFormat="1" ht="39" customHeight="1" thickBot="1" x14ac:dyDescent="0.3">
      <c r="A200" s="1"/>
      <c r="B200" s="86" t="s">
        <v>155</v>
      </c>
      <c r="C200" s="87"/>
      <c r="D200" s="87"/>
      <c r="E200" s="87"/>
      <c r="F200" s="88">
        <f>H200</f>
        <v>6548.7953414518379</v>
      </c>
      <c r="G200" s="75"/>
      <c r="H200" s="88">
        <f>K200</f>
        <v>6548.7953414518379</v>
      </c>
      <c r="I200" s="88">
        <f>K200</f>
        <v>6548.7953414518379</v>
      </c>
      <c r="J200" s="75"/>
      <c r="K200" s="89">
        <v>6548.7953414518379</v>
      </c>
    </row>
    <row r="201" spans="1:11" s="3" customFormat="1" ht="32.25" thickBot="1" x14ac:dyDescent="0.3">
      <c r="A201" s="1"/>
      <c r="B201" s="86" t="s">
        <v>156</v>
      </c>
      <c r="C201" s="87"/>
      <c r="D201" s="87"/>
      <c r="E201" s="87"/>
      <c r="F201" s="88">
        <f>F199+F200</f>
        <v>49016.809572251834</v>
      </c>
      <c r="G201" s="74"/>
      <c r="H201" s="88">
        <f>H199+H200</f>
        <v>49016.809572251834</v>
      </c>
      <c r="I201" s="88">
        <f>I199+I200</f>
        <v>87533.847091451826</v>
      </c>
      <c r="J201" s="75"/>
      <c r="K201" s="89">
        <f>K199+K200</f>
        <v>87533.847091451855</v>
      </c>
    </row>
    <row r="202" spans="1:11" s="3" customFormat="1" ht="16.5" customHeight="1" thickBot="1" x14ac:dyDescent="0.3">
      <c r="A202" s="1"/>
      <c r="B202" s="2"/>
      <c r="C202" s="91"/>
      <c r="D202" s="91"/>
      <c r="E202" s="91"/>
      <c r="F202" s="92" t="s">
        <v>157</v>
      </c>
      <c r="G202" s="91"/>
      <c r="H202" s="91"/>
      <c r="I202" s="91"/>
      <c r="J202" s="91"/>
      <c r="K202" s="93"/>
    </row>
    <row r="203" spans="1:11" s="3" customFormat="1" ht="60" customHeight="1" x14ac:dyDescent="0.25">
      <c r="A203" s="1"/>
      <c r="B203" s="156" t="s">
        <v>158</v>
      </c>
      <c r="C203" s="35" t="s">
        <v>21</v>
      </c>
      <c r="D203" s="35" t="s">
        <v>22</v>
      </c>
      <c r="E203" s="35" t="s">
        <v>106</v>
      </c>
      <c r="F203" s="36">
        <f>H203</f>
        <v>400</v>
      </c>
      <c r="G203" s="36" t="s">
        <v>159</v>
      </c>
      <c r="H203" s="36">
        <f>400000/1000</f>
        <v>400</v>
      </c>
      <c r="I203" s="36" t="s">
        <v>25</v>
      </c>
      <c r="J203" s="36" t="s">
        <v>25</v>
      </c>
      <c r="K203" s="37" t="s">
        <v>25</v>
      </c>
    </row>
    <row r="204" spans="1:11" s="3" customFormat="1" ht="36.75" customHeight="1" x14ac:dyDescent="0.25">
      <c r="A204" s="1"/>
      <c r="B204" s="158"/>
      <c r="C204" s="167" t="s">
        <v>160</v>
      </c>
      <c r="D204" s="167" t="s">
        <v>161</v>
      </c>
      <c r="E204" s="166">
        <v>82000</v>
      </c>
      <c r="F204" s="166">
        <f>SUM(H204:H224)</f>
        <v>5962.8934099999997</v>
      </c>
      <c r="G204" s="14" t="s">
        <v>162</v>
      </c>
      <c r="H204" s="14">
        <f>1421382.3/1000</f>
        <v>1421.3823</v>
      </c>
      <c r="I204" s="166">
        <f>SUM(K204:K224)</f>
        <v>4541.5110992000009</v>
      </c>
      <c r="J204" s="62" t="s">
        <v>163</v>
      </c>
      <c r="K204" s="18">
        <f>380122.67/1000</f>
        <v>380.12266999999997</v>
      </c>
    </row>
    <row r="205" spans="1:11" s="3" customFormat="1" ht="36.75" customHeight="1" x14ac:dyDescent="0.25">
      <c r="A205" s="1"/>
      <c r="B205" s="158"/>
      <c r="C205" s="170"/>
      <c r="D205" s="170"/>
      <c r="E205" s="171"/>
      <c r="F205" s="171"/>
      <c r="G205" s="16" t="s">
        <v>164</v>
      </c>
      <c r="H205" s="16">
        <f>65874.55/1000</f>
        <v>65.874549999999999</v>
      </c>
      <c r="I205" s="171"/>
      <c r="J205" s="62" t="s">
        <v>165</v>
      </c>
      <c r="K205" s="18">
        <f>65874.55/1000</f>
        <v>65.874549999999999</v>
      </c>
    </row>
    <row r="206" spans="1:11" s="3" customFormat="1" ht="36.75" customHeight="1" x14ac:dyDescent="0.25">
      <c r="A206" s="1"/>
      <c r="B206" s="158"/>
      <c r="C206" s="170"/>
      <c r="D206" s="170"/>
      <c r="E206" s="171"/>
      <c r="F206" s="171"/>
      <c r="G206" s="16" t="s">
        <v>166</v>
      </c>
      <c r="H206" s="16">
        <f>380122.67/1000</f>
        <v>380.12266999999997</v>
      </c>
      <c r="I206" s="171"/>
      <c r="J206" s="14" t="s">
        <v>167</v>
      </c>
      <c r="K206" s="19">
        <f>2539542.1/1000</f>
        <v>2539.5421000000001</v>
      </c>
    </row>
    <row r="207" spans="1:11" s="3" customFormat="1" ht="36.75" customHeight="1" x14ac:dyDescent="0.25">
      <c r="A207" s="1"/>
      <c r="B207" s="158"/>
      <c r="C207" s="170"/>
      <c r="D207" s="170"/>
      <c r="E207" s="171"/>
      <c r="F207" s="171"/>
      <c r="G207" s="16" t="s">
        <v>168</v>
      </c>
      <c r="H207" s="16">
        <f>2539542.1/1000</f>
        <v>2539.5421000000001</v>
      </c>
      <c r="I207" s="171"/>
      <c r="J207" s="14" t="s">
        <v>169</v>
      </c>
      <c r="K207" s="19">
        <v>778.74284999999998</v>
      </c>
    </row>
    <row r="208" spans="1:11" s="3" customFormat="1" ht="36.75" customHeight="1" x14ac:dyDescent="0.25">
      <c r="A208" s="1"/>
      <c r="B208" s="158"/>
      <c r="C208" s="170"/>
      <c r="D208" s="170"/>
      <c r="E208" s="171"/>
      <c r="F208" s="171"/>
      <c r="G208" s="16" t="s">
        <v>170</v>
      </c>
      <c r="H208" s="16">
        <f>33590.15/1000</f>
        <v>33.590150000000001</v>
      </c>
      <c r="I208" s="171"/>
      <c r="J208" s="14" t="s">
        <v>171</v>
      </c>
      <c r="K208" s="19">
        <v>374.83735999999999</v>
      </c>
    </row>
    <row r="209" spans="1:11" s="3" customFormat="1" ht="36.75" customHeight="1" x14ac:dyDescent="0.25">
      <c r="A209" s="1"/>
      <c r="B209" s="158"/>
      <c r="C209" s="170"/>
      <c r="D209" s="170"/>
      <c r="E209" s="171"/>
      <c r="F209" s="171"/>
      <c r="G209" s="16" t="s">
        <v>172</v>
      </c>
      <c r="H209" s="16">
        <v>778.74284999999998</v>
      </c>
      <c r="I209" s="171"/>
      <c r="J209" s="14" t="s">
        <v>173</v>
      </c>
      <c r="K209" s="19">
        <v>33.590150000000001</v>
      </c>
    </row>
    <row r="210" spans="1:11" s="3" customFormat="1" ht="36.75" customHeight="1" x14ac:dyDescent="0.25">
      <c r="A210" s="1"/>
      <c r="B210" s="158"/>
      <c r="C210" s="170"/>
      <c r="D210" s="170"/>
      <c r="E210" s="171"/>
      <c r="F210" s="171"/>
      <c r="G210" s="14" t="s">
        <v>174</v>
      </c>
      <c r="H210" s="14">
        <v>374.83735999999999</v>
      </c>
      <c r="I210" s="171"/>
      <c r="J210" s="14" t="s">
        <v>175</v>
      </c>
      <c r="K210" s="19">
        <v>304.27850000000001</v>
      </c>
    </row>
    <row r="211" spans="1:11" s="3" customFormat="1" ht="36.75" customHeight="1" x14ac:dyDescent="0.25">
      <c r="A211" s="1"/>
      <c r="B211" s="158"/>
      <c r="C211" s="170"/>
      <c r="D211" s="170"/>
      <c r="E211" s="171"/>
      <c r="F211" s="171"/>
      <c r="G211" s="14" t="s">
        <v>176</v>
      </c>
      <c r="H211" s="14">
        <v>304.27850999999998</v>
      </c>
      <c r="I211" s="171"/>
      <c r="J211" s="14" t="s">
        <v>177</v>
      </c>
      <c r="K211" s="19">
        <v>33.601302400000002</v>
      </c>
    </row>
    <row r="212" spans="1:11" s="3" customFormat="1" ht="36.75" customHeight="1" x14ac:dyDescent="0.25">
      <c r="A212" s="1"/>
      <c r="B212" s="158"/>
      <c r="C212" s="170"/>
      <c r="D212" s="170"/>
      <c r="E212" s="171"/>
      <c r="F212" s="171"/>
      <c r="G212" s="14" t="s">
        <v>178</v>
      </c>
      <c r="H212" s="14">
        <v>33.601300000000002</v>
      </c>
      <c r="I212" s="171"/>
      <c r="J212" s="14" t="s">
        <v>179</v>
      </c>
      <c r="K212" s="94">
        <v>30.921616799999999</v>
      </c>
    </row>
    <row r="213" spans="1:11" s="3" customFormat="1" ht="30" x14ac:dyDescent="0.25">
      <c r="A213" s="1"/>
      <c r="B213" s="158"/>
      <c r="C213" s="170"/>
      <c r="D213" s="170"/>
      <c r="E213" s="171"/>
      <c r="F213" s="171"/>
      <c r="G213" s="14" t="s">
        <v>180</v>
      </c>
      <c r="H213" s="14">
        <v>30.921619999999997</v>
      </c>
      <c r="I213" s="171"/>
      <c r="J213" s="14" t="s">
        <v>25</v>
      </c>
      <c r="K213" s="95" t="s">
        <v>25</v>
      </c>
    </row>
    <row r="214" spans="1:11" s="3" customFormat="1" hidden="1" x14ac:dyDescent="0.25">
      <c r="A214" s="1"/>
      <c r="B214" s="158"/>
      <c r="C214" s="170"/>
      <c r="D214" s="170"/>
      <c r="E214" s="171"/>
      <c r="F214" s="171"/>
      <c r="G214" s="14"/>
      <c r="H214" s="14"/>
      <c r="I214" s="171"/>
      <c r="J214" s="14"/>
      <c r="K214" s="94"/>
    </row>
    <row r="215" spans="1:11" s="3" customFormat="1" hidden="1" x14ac:dyDescent="0.25">
      <c r="A215" s="1"/>
      <c r="B215" s="158"/>
      <c r="C215" s="170"/>
      <c r="D215" s="170"/>
      <c r="E215" s="171"/>
      <c r="F215" s="171"/>
      <c r="G215" s="96"/>
      <c r="H215" s="96"/>
      <c r="I215" s="171"/>
      <c r="J215" s="97"/>
      <c r="K215" s="98"/>
    </row>
    <row r="216" spans="1:11" s="3" customFormat="1" hidden="1" x14ac:dyDescent="0.25">
      <c r="A216" s="1"/>
      <c r="B216" s="158"/>
      <c r="C216" s="170"/>
      <c r="D216" s="170"/>
      <c r="E216" s="171"/>
      <c r="F216" s="171"/>
      <c r="G216" s="14"/>
      <c r="H216" s="14"/>
      <c r="I216" s="171"/>
      <c r="J216" s="14"/>
      <c r="K216" s="94"/>
    </row>
    <row r="217" spans="1:11" s="3" customFormat="1" hidden="1" x14ac:dyDescent="0.25">
      <c r="A217" s="1"/>
      <c r="B217" s="158"/>
      <c r="C217" s="170"/>
      <c r="D217" s="170"/>
      <c r="E217" s="171"/>
      <c r="F217" s="171"/>
      <c r="G217" s="14"/>
      <c r="H217" s="14"/>
      <c r="I217" s="171"/>
      <c r="J217" s="14"/>
      <c r="K217" s="19"/>
    </row>
    <row r="218" spans="1:11" s="3" customFormat="1" hidden="1" x14ac:dyDescent="0.25">
      <c r="A218" s="1"/>
      <c r="B218" s="158"/>
      <c r="C218" s="170"/>
      <c r="D218" s="170"/>
      <c r="E218" s="171"/>
      <c r="F218" s="171"/>
      <c r="G218" s="14"/>
      <c r="H218" s="14"/>
      <c r="I218" s="171"/>
      <c r="J218" s="96"/>
      <c r="K218" s="99"/>
    </row>
    <row r="219" spans="1:11" s="3" customFormat="1" hidden="1" x14ac:dyDescent="0.25">
      <c r="A219" s="1"/>
      <c r="B219" s="158"/>
      <c r="C219" s="170"/>
      <c r="D219" s="170"/>
      <c r="E219" s="171"/>
      <c r="F219" s="171"/>
      <c r="G219" s="14"/>
      <c r="H219" s="14"/>
      <c r="I219" s="171"/>
      <c r="J219" s="96"/>
      <c r="K219" s="99"/>
    </row>
    <row r="220" spans="1:11" s="3" customFormat="1" hidden="1" x14ac:dyDescent="0.25">
      <c r="A220" s="1"/>
      <c r="B220" s="158"/>
      <c r="C220" s="170"/>
      <c r="D220" s="170"/>
      <c r="E220" s="171"/>
      <c r="F220" s="171"/>
      <c r="G220" s="14"/>
      <c r="H220" s="14"/>
      <c r="I220" s="171"/>
      <c r="J220" s="96"/>
      <c r="K220" s="99"/>
    </row>
    <row r="221" spans="1:11" s="3" customFormat="1" hidden="1" x14ac:dyDescent="0.25">
      <c r="A221" s="1"/>
      <c r="B221" s="158"/>
      <c r="C221" s="170"/>
      <c r="D221" s="170"/>
      <c r="E221" s="171"/>
      <c r="F221" s="171"/>
      <c r="G221" s="14"/>
      <c r="H221" s="14"/>
      <c r="I221" s="171"/>
      <c r="J221" s="14"/>
      <c r="K221" s="19"/>
    </row>
    <row r="222" spans="1:11" s="3" customFormat="1" hidden="1" x14ac:dyDescent="0.25">
      <c r="A222" s="1"/>
      <c r="B222" s="158"/>
      <c r="C222" s="170"/>
      <c r="D222" s="170"/>
      <c r="E222" s="171"/>
      <c r="F222" s="171"/>
      <c r="G222" s="14"/>
      <c r="H222" s="14"/>
      <c r="I222" s="171"/>
      <c r="J222" s="14"/>
      <c r="K222" s="19"/>
    </row>
    <row r="223" spans="1:11" s="3" customFormat="1" hidden="1" x14ac:dyDescent="0.25">
      <c r="A223" s="1"/>
      <c r="B223" s="158"/>
      <c r="C223" s="170"/>
      <c r="D223" s="170"/>
      <c r="E223" s="171"/>
      <c r="F223" s="171"/>
      <c r="G223" s="16"/>
      <c r="H223" s="16"/>
      <c r="I223" s="171"/>
      <c r="J223" s="14"/>
      <c r="K223" s="19"/>
    </row>
    <row r="224" spans="1:11" s="3" customFormat="1" hidden="1" x14ac:dyDescent="0.25">
      <c r="A224" s="1"/>
      <c r="B224" s="158"/>
      <c r="C224" s="170"/>
      <c r="D224" s="170"/>
      <c r="E224" s="171"/>
      <c r="F224" s="171"/>
      <c r="G224" s="38"/>
      <c r="H224" s="38"/>
      <c r="I224" s="171"/>
      <c r="J224" s="38"/>
      <c r="K224" s="19"/>
    </row>
    <row r="225" spans="1:11" s="3" customFormat="1" ht="48.75" customHeight="1" x14ac:dyDescent="0.25">
      <c r="A225" s="1"/>
      <c r="B225" s="158"/>
      <c r="C225" s="175" t="s">
        <v>181</v>
      </c>
      <c r="D225" s="175"/>
      <c r="E225" s="14" t="s">
        <v>25</v>
      </c>
      <c r="F225" s="14" t="str">
        <f>H225</f>
        <v>__</v>
      </c>
      <c r="G225" s="14" t="s">
        <v>25</v>
      </c>
      <c r="H225" s="14" t="s">
        <v>25</v>
      </c>
      <c r="I225" s="14">
        <f>K225</f>
        <v>43226.478619999994</v>
      </c>
      <c r="J225" s="14" t="s">
        <v>25</v>
      </c>
      <c r="K225" s="22">
        <f>36632609*1.18/1000</f>
        <v>43226.478619999994</v>
      </c>
    </row>
    <row r="226" spans="1:11" s="3" customFormat="1" ht="35.25" customHeight="1" x14ac:dyDescent="0.25">
      <c r="A226" s="1"/>
      <c r="B226" s="158"/>
      <c r="C226" s="167" t="s">
        <v>160</v>
      </c>
      <c r="D226" s="167" t="s">
        <v>182</v>
      </c>
      <c r="E226" s="166">
        <f>7700000/1000</f>
        <v>7700</v>
      </c>
      <c r="F226" s="166">
        <f>SUM(H226:H242)</f>
        <v>2491.1460999999999</v>
      </c>
      <c r="G226" s="16" t="s">
        <v>183</v>
      </c>
      <c r="H226" s="16">
        <f>118430.04/1000</f>
        <v>118.43003999999999</v>
      </c>
      <c r="I226" s="166">
        <f>SUM(K226:K242)</f>
        <v>4002.1953413999995</v>
      </c>
      <c r="J226" s="24" t="s">
        <v>184</v>
      </c>
      <c r="K226" s="94">
        <f>36236.42/1000</f>
        <v>36.236419999999995</v>
      </c>
    </row>
    <row r="227" spans="1:11" s="3" customFormat="1" ht="35.25" customHeight="1" x14ac:dyDescent="0.25">
      <c r="A227" s="1"/>
      <c r="B227" s="158"/>
      <c r="C227" s="170"/>
      <c r="D227" s="170"/>
      <c r="E227" s="171"/>
      <c r="F227" s="171"/>
      <c r="G227" s="16" t="s">
        <v>185</v>
      </c>
      <c r="H227" s="16">
        <f>309554.34/1000</f>
        <v>309.55434000000002</v>
      </c>
      <c r="I227" s="171"/>
      <c r="J227" s="24" t="s">
        <v>186</v>
      </c>
      <c r="K227" s="19">
        <f>309554.3442/1000</f>
        <v>309.5543442</v>
      </c>
    </row>
    <row r="228" spans="1:11" s="3" customFormat="1" ht="35.25" customHeight="1" x14ac:dyDescent="0.25">
      <c r="A228" s="1"/>
      <c r="B228" s="158"/>
      <c r="C228" s="170"/>
      <c r="D228" s="170"/>
      <c r="E228" s="171"/>
      <c r="F228" s="171"/>
      <c r="G228" s="16" t="s">
        <v>187</v>
      </c>
      <c r="H228" s="16">
        <f>36236.42/1000</f>
        <v>36.236419999999995</v>
      </c>
      <c r="I228" s="171"/>
      <c r="J228" s="100" t="s">
        <v>188</v>
      </c>
      <c r="K228" s="19">
        <f>50407.91/1000</f>
        <v>50.407910000000001</v>
      </c>
    </row>
    <row r="229" spans="1:11" s="3" customFormat="1" ht="35.25" customHeight="1" x14ac:dyDescent="0.25">
      <c r="A229" s="1"/>
      <c r="B229" s="158"/>
      <c r="C229" s="170"/>
      <c r="D229" s="170"/>
      <c r="E229" s="171"/>
      <c r="F229" s="171"/>
      <c r="G229" s="16" t="s">
        <v>189</v>
      </c>
      <c r="H229" s="16">
        <f>8122.97/1000</f>
        <v>8.1229700000000005</v>
      </c>
      <c r="I229" s="171"/>
      <c r="J229" s="100" t="s">
        <v>190</v>
      </c>
      <c r="K229" s="19">
        <f>3818.95/1000</f>
        <v>3.8189499999999996</v>
      </c>
    </row>
    <row r="230" spans="1:11" s="3" customFormat="1" ht="35.25" customHeight="1" x14ac:dyDescent="0.25">
      <c r="A230" s="1"/>
      <c r="B230" s="158"/>
      <c r="C230" s="170"/>
      <c r="D230" s="170"/>
      <c r="E230" s="171"/>
      <c r="F230" s="171"/>
      <c r="G230" s="16" t="s">
        <v>191</v>
      </c>
      <c r="H230" s="16">
        <f>50407.91/1000</f>
        <v>50.407910000000001</v>
      </c>
      <c r="I230" s="171"/>
      <c r="J230" s="100" t="s">
        <v>192</v>
      </c>
      <c r="K230" s="19">
        <f>8122.97/1000</f>
        <v>8.1229700000000005</v>
      </c>
    </row>
    <row r="231" spans="1:11" s="3" customFormat="1" ht="35.25" customHeight="1" x14ac:dyDescent="0.25">
      <c r="A231" s="1"/>
      <c r="B231" s="158"/>
      <c r="C231" s="170"/>
      <c r="D231" s="170"/>
      <c r="E231" s="171"/>
      <c r="F231" s="171"/>
      <c r="G231" s="16" t="s">
        <v>193</v>
      </c>
      <c r="H231" s="16">
        <f>3818.95/1000</f>
        <v>3.8189499999999996</v>
      </c>
      <c r="I231" s="171"/>
      <c r="J231" s="100" t="s">
        <v>194</v>
      </c>
      <c r="K231" s="19">
        <f>154811.91/1000</f>
        <v>154.81191000000001</v>
      </c>
    </row>
    <row r="232" spans="1:11" s="3" customFormat="1" ht="35.25" customHeight="1" x14ac:dyDescent="0.25">
      <c r="A232" s="1"/>
      <c r="B232" s="158"/>
      <c r="C232" s="170"/>
      <c r="D232" s="170"/>
      <c r="E232" s="171"/>
      <c r="F232" s="171"/>
      <c r="G232" s="16" t="s">
        <v>195</v>
      </c>
      <c r="H232" s="16">
        <f>49042.02/1000</f>
        <v>49.042019999999994</v>
      </c>
      <c r="I232" s="171"/>
      <c r="J232" s="100" t="s">
        <v>196</v>
      </c>
      <c r="K232" s="19">
        <f>49042.02/1000</f>
        <v>49.042019999999994</v>
      </c>
    </row>
    <row r="233" spans="1:11" s="3" customFormat="1" ht="35.25" customHeight="1" x14ac:dyDescent="0.25">
      <c r="A233" s="1"/>
      <c r="B233" s="158"/>
      <c r="C233" s="170"/>
      <c r="D233" s="170"/>
      <c r="E233" s="171"/>
      <c r="F233" s="171"/>
      <c r="G233" s="16" t="s">
        <v>197</v>
      </c>
      <c r="H233" s="16">
        <f>154811.91/1000</f>
        <v>154.81191000000001</v>
      </c>
      <c r="I233" s="171"/>
      <c r="J233" s="14" t="s">
        <v>198</v>
      </c>
      <c r="K233" s="19">
        <v>101.9272436</v>
      </c>
    </row>
    <row r="234" spans="1:11" s="3" customFormat="1" ht="35.25" customHeight="1" x14ac:dyDescent="0.25">
      <c r="A234" s="1"/>
      <c r="B234" s="158"/>
      <c r="C234" s="170"/>
      <c r="D234" s="170"/>
      <c r="E234" s="171"/>
      <c r="F234" s="171"/>
      <c r="G234" s="16" t="s">
        <v>199</v>
      </c>
      <c r="H234" s="16">
        <v>1658.7943</v>
      </c>
      <c r="I234" s="171"/>
      <c r="J234" s="14" t="s">
        <v>200</v>
      </c>
      <c r="K234" s="19">
        <v>1658.7942983999999</v>
      </c>
    </row>
    <row r="235" spans="1:11" s="3" customFormat="1" ht="35.25" customHeight="1" x14ac:dyDescent="0.25">
      <c r="A235" s="1"/>
      <c r="B235" s="158"/>
      <c r="C235" s="170"/>
      <c r="D235" s="170"/>
      <c r="E235" s="171"/>
      <c r="F235" s="171"/>
      <c r="G235" s="16" t="s">
        <v>201</v>
      </c>
      <c r="H235" s="16">
        <v>101.92724000000001</v>
      </c>
      <c r="I235" s="171"/>
      <c r="J235" s="100" t="s">
        <v>202</v>
      </c>
      <c r="K235" s="22">
        <v>122.9598586</v>
      </c>
    </row>
    <row r="236" spans="1:11" s="3" customFormat="1" ht="35.25" customHeight="1" x14ac:dyDescent="0.25">
      <c r="A236" s="1"/>
      <c r="B236" s="158"/>
      <c r="C236" s="170"/>
      <c r="D236" s="170"/>
      <c r="E236" s="171"/>
      <c r="F236" s="171"/>
      <c r="G236" s="16" t="s">
        <v>25</v>
      </c>
      <c r="H236" s="16" t="s">
        <v>25</v>
      </c>
      <c r="I236" s="171"/>
      <c r="J236" s="100" t="s">
        <v>203</v>
      </c>
      <c r="K236" s="22">
        <v>100.0407422</v>
      </c>
    </row>
    <row r="237" spans="1:11" s="3" customFormat="1" ht="35.25" customHeight="1" x14ac:dyDescent="0.25">
      <c r="A237" s="1"/>
      <c r="B237" s="158"/>
      <c r="C237" s="170"/>
      <c r="D237" s="170"/>
      <c r="E237" s="171"/>
      <c r="F237" s="171"/>
      <c r="G237" s="16" t="s">
        <v>25</v>
      </c>
      <c r="H237" s="16" t="s">
        <v>25</v>
      </c>
      <c r="I237" s="171"/>
      <c r="J237" s="100" t="s">
        <v>204</v>
      </c>
      <c r="K237" s="22">
        <v>73.031025999999997</v>
      </c>
    </row>
    <row r="238" spans="1:11" s="3" customFormat="1" ht="35.25" customHeight="1" x14ac:dyDescent="0.25">
      <c r="A238" s="1"/>
      <c r="B238" s="158"/>
      <c r="C238" s="170"/>
      <c r="D238" s="170"/>
      <c r="E238" s="171"/>
      <c r="F238" s="171"/>
      <c r="G238" s="16" t="s">
        <v>25</v>
      </c>
      <c r="H238" s="16" t="s">
        <v>25</v>
      </c>
      <c r="I238" s="171"/>
      <c r="J238" s="100" t="s">
        <v>205</v>
      </c>
      <c r="K238" s="22">
        <v>819.71869479999998</v>
      </c>
    </row>
    <row r="239" spans="1:11" s="3" customFormat="1" ht="35.25" customHeight="1" x14ac:dyDescent="0.25">
      <c r="A239" s="1"/>
      <c r="B239" s="158"/>
      <c r="C239" s="170"/>
      <c r="D239" s="170"/>
      <c r="E239" s="171"/>
      <c r="F239" s="171"/>
      <c r="G239" s="16" t="s">
        <v>25</v>
      </c>
      <c r="H239" s="16" t="s">
        <v>25</v>
      </c>
      <c r="I239" s="171"/>
      <c r="J239" s="100" t="s">
        <v>206</v>
      </c>
      <c r="K239" s="22">
        <v>513.72895359999995</v>
      </c>
    </row>
    <row r="240" spans="1:11" s="3" customFormat="1" ht="35.25" hidden="1" customHeight="1" x14ac:dyDescent="0.25">
      <c r="A240" s="1"/>
      <c r="B240" s="158"/>
      <c r="C240" s="170"/>
      <c r="D240" s="170"/>
      <c r="E240" s="171"/>
      <c r="F240" s="171"/>
      <c r="G240" s="16"/>
      <c r="H240" s="16"/>
      <c r="I240" s="171"/>
      <c r="J240" s="100"/>
      <c r="K240" s="22"/>
    </row>
    <row r="241" spans="1:11" s="3" customFormat="1" ht="28.5" hidden="1" customHeight="1" x14ac:dyDescent="0.25">
      <c r="A241" s="1"/>
      <c r="B241" s="158"/>
      <c r="C241" s="170"/>
      <c r="D241" s="170"/>
      <c r="E241" s="171"/>
      <c r="F241" s="171"/>
      <c r="G241" s="16"/>
      <c r="H241" s="16"/>
      <c r="I241" s="171"/>
      <c r="J241" s="100"/>
      <c r="K241" s="22"/>
    </row>
    <row r="242" spans="1:11" s="3" customFormat="1" ht="28.5" hidden="1" customHeight="1" x14ac:dyDescent="0.25">
      <c r="A242" s="1"/>
      <c r="B242" s="158"/>
      <c r="C242" s="160"/>
      <c r="D242" s="160"/>
      <c r="E242" s="152"/>
      <c r="F242" s="152"/>
      <c r="G242" s="16"/>
      <c r="H242" s="16"/>
      <c r="I242" s="152"/>
      <c r="J242" s="100"/>
      <c r="K242" s="22"/>
    </row>
    <row r="243" spans="1:11" s="3" customFormat="1" ht="45.75" customHeight="1" x14ac:dyDescent="0.25">
      <c r="A243" s="1"/>
      <c r="B243" s="158"/>
      <c r="C243" s="175" t="s">
        <v>207</v>
      </c>
      <c r="D243" s="175"/>
      <c r="E243" s="14" t="s">
        <v>25</v>
      </c>
      <c r="F243" s="14" t="str">
        <f>H243</f>
        <v>__</v>
      </c>
      <c r="G243" s="14" t="s">
        <v>25</v>
      </c>
      <c r="H243" s="14" t="s">
        <v>25</v>
      </c>
      <c r="I243" s="14">
        <f>K243</f>
        <v>-401.26323619999994</v>
      </c>
      <c r="J243" s="14" t="s">
        <v>25</v>
      </c>
      <c r="K243" s="22">
        <v>-401.26323619999994</v>
      </c>
    </row>
    <row r="244" spans="1:11" s="3" customFormat="1" ht="45.75" customHeight="1" x14ac:dyDescent="0.25">
      <c r="A244" s="1"/>
      <c r="B244" s="158"/>
      <c r="C244" s="175" t="s">
        <v>208</v>
      </c>
      <c r="D244" s="175"/>
      <c r="E244" s="14" t="s">
        <v>25</v>
      </c>
      <c r="F244" s="14" t="str">
        <f>H244</f>
        <v>__</v>
      </c>
      <c r="G244" s="14" t="s">
        <v>25</v>
      </c>
      <c r="H244" s="14" t="s">
        <v>25</v>
      </c>
      <c r="I244" s="14">
        <f>K244</f>
        <v>11998.244035599999</v>
      </c>
      <c r="J244" s="14" t="s">
        <v>25</v>
      </c>
      <c r="K244" s="22">
        <f>8341.4786696+3656.765366</f>
        <v>11998.244035599999</v>
      </c>
    </row>
    <row r="245" spans="1:11" s="3" customFormat="1" ht="30" x14ac:dyDescent="0.25">
      <c r="A245" s="1"/>
      <c r="B245" s="158"/>
      <c r="C245" s="167" t="s">
        <v>209</v>
      </c>
      <c r="D245" s="167" t="s">
        <v>210</v>
      </c>
      <c r="E245" s="166">
        <f>30668.87*16/1000</f>
        <v>490.70191999999997</v>
      </c>
      <c r="F245" s="166">
        <f>SUM(H245:H253)</f>
        <v>337.3575699999999</v>
      </c>
      <c r="G245" s="14" t="s">
        <v>211</v>
      </c>
      <c r="H245" s="14">
        <f>61337.74/1000</f>
        <v>61.337739999999997</v>
      </c>
      <c r="I245" s="166">
        <f>SUM(K245:K253)</f>
        <v>276.01984039999996</v>
      </c>
      <c r="J245" s="24" t="s">
        <v>212</v>
      </c>
      <c r="K245" s="22">
        <f>30668.8726/1000</f>
        <v>30.6688726</v>
      </c>
    </row>
    <row r="246" spans="1:11" s="3" customFormat="1" ht="30" x14ac:dyDescent="0.25">
      <c r="A246" s="1"/>
      <c r="B246" s="158"/>
      <c r="C246" s="170"/>
      <c r="D246" s="170"/>
      <c r="E246" s="171"/>
      <c r="F246" s="171"/>
      <c r="G246" s="16" t="s">
        <v>213</v>
      </c>
      <c r="H246" s="16">
        <f>30668.87/1000</f>
        <v>30.668869999999998</v>
      </c>
      <c r="I246" s="171"/>
      <c r="J246" s="100" t="s">
        <v>214</v>
      </c>
      <c r="K246" s="22">
        <f>30668.87/1000</f>
        <v>30.668869999999998</v>
      </c>
    </row>
    <row r="247" spans="1:11" s="3" customFormat="1" ht="30" x14ac:dyDescent="0.25">
      <c r="A247" s="1"/>
      <c r="B247" s="158"/>
      <c r="C247" s="170"/>
      <c r="D247" s="170"/>
      <c r="E247" s="171"/>
      <c r="F247" s="171"/>
      <c r="G247" s="16" t="s">
        <v>215</v>
      </c>
      <c r="H247" s="16">
        <f>30668.87/1000</f>
        <v>30.668869999999998</v>
      </c>
      <c r="I247" s="171"/>
      <c r="J247" s="100" t="s">
        <v>216</v>
      </c>
      <c r="K247" s="22">
        <f>61337.74/1000</f>
        <v>61.337739999999997</v>
      </c>
    </row>
    <row r="248" spans="1:11" s="3" customFormat="1" ht="31.5" customHeight="1" x14ac:dyDescent="0.25">
      <c r="A248" s="1"/>
      <c r="B248" s="158"/>
      <c r="C248" s="170"/>
      <c r="D248" s="170"/>
      <c r="E248" s="171"/>
      <c r="F248" s="171"/>
      <c r="G248" s="16" t="s">
        <v>217</v>
      </c>
      <c r="H248" s="16">
        <f>30668.87/1000</f>
        <v>30.668869999999998</v>
      </c>
      <c r="I248" s="171"/>
      <c r="J248" s="100" t="s">
        <v>218</v>
      </c>
      <c r="K248" s="22">
        <f>30668.87/1000</f>
        <v>30.668869999999998</v>
      </c>
    </row>
    <row r="249" spans="1:11" s="3" customFormat="1" ht="31.5" customHeight="1" x14ac:dyDescent="0.25">
      <c r="A249" s="1"/>
      <c r="B249" s="158"/>
      <c r="C249" s="170"/>
      <c r="D249" s="170"/>
      <c r="E249" s="171"/>
      <c r="F249" s="171"/>
      <c r="G249" s="16" t="s">
        <v>219</v>
      </c>
      <c r="H249" s="16">
        <f>61337.74/1000</f>
        <v>61.337739999999997</v>
      </c>
      <c r="I249" s="171"/>
      <c r="J249" s="100" t="s">
        <v>220</v>
      </c>
      <c r="K249" s="22">
        <f>30668.87/1000</f>
        <v>30.668869999999998</v>
      </c>
    </row>
    <row r="250" spans="1:11" s="3" customFormat="1" ht="31.5" customHeight="1" x14ac:dyDescent="0.25">
      <c r="A250" s="1"/>
      <c r="B250" s="158"/>
      <c r="C250" s="170"/>
      <c r="D250" s="170"/>
      <c r="E250" s="171"/>
      <c r="F250" s="171"/>
      <c r="G250" s="16" t="s">
        <v>221</v>
      </c>
      <c r="H250" s="16">
        <f>30668.87/1000</f>
        <v>30.668869999999998</v>
      </c>
      <c r="I250" s="171"/>
      <c r="J250" s="100" t="s">
        <v>222</v>
      </c>
      <c r="K250" s="22">
        <f>30668.8726/1000</f>
        <v>30.6688726</v>
      </c>
    </row>
    <row r="251" spans="1:11" s="3" customFormat="1" ht="31.5" customHeight="1" x14ac:dyDescent="0.25">
      <c r="A251" s="1"/>
      <c r="B251" s="158"/>
      <c r="C251" s="170"/>
      <c r="D251" s="170"/>
      <c r="E251" s="171"/>
      <c r="F251" s="171"/>
      <c r="G251" s="16" t="s">
        <v>223</v>
      </c>
      <c r="H251" s="16">
        <f>30668.87/1000</f>
        <v>30.668869999999998</v>
      </c>
      <c r="I251" s="171"/>
      <c r="J251" s="100" t="s">
        <v>224</v>
      </c>
      <c r="K251" s="22">
        <v>30.6688726</v>
      </c>
    </row>
    <row r="252" spans="1:11" s="3" customFormat="1" ht="31.5" customHeight="1" x14ac:dyDescent="0.25">
      <c r="A252" s="1"/>
      <c r="B252" s="158"/>
      <c r="C252" s="170"/>
      <c r="D252" s="170"/>
      <c r="E252" s="171"/>
      <c r="F252" s="171"/>
      <c r="G252" s="16" t="s">
        <v>225</v>
      </c>
      <c r="H252" s="14">
        <v>30.668869999999998</v>
      </c>
      <c r="I252" s="171"/>
      <c r="J252" s="100" t="s">
        <v>226</v>
      </c>
      <c r="K252" s="22">
        <v>30.6688726</v>
      </c>
    </row>
    <row r="253" spans="1:11" s="3" customFormat="1" ht="31.5" customHeight="1" x14ac:dyDescent="0.25">
      <c r="A253" s="1"/>
      <c r="B253" s="158"/>
      <c r="C253" s="170"/>
      <c r="D253" s="170"/>
      <c r="E253" s="171"/>
      <c r="F253" s="171"/>
      <c r="G253" s="16" t="s">
        <v>227</v>
      </c>
      <c r="H253" s="16">
        <v>30.668869999999998</v>
      </c>
      <c r="I253" s="171"/>
      <c r="J253" s="100" t="s">
        <v>25</v>
      </c>
      <c r="K253" s="22" t="s">
        <v>25</v>
      </c>
    </row>
    <row r="254" spans="1:11" s="3" customFormat="1" ht="30" x14ac:dyDescent="0.25">
      <c r="A254" s="1"/>
      <c r="B254" s="158"/>
      <c r="C254" s="167" t="s">
        <v>209</v>
      </c>
      <c r="D254" s="167" t="s">
        <v>228</v>
      </c>
      <c r="E254" s="166">
        <f>3303227.63/1000</f>
        <v>3303.2276299999999</v>
      </c>
      <c r="F254" s="166">
        <f>H254+H255</f>
        <v>3303.2276300000003</v>
      </c>
      <c r="G254" s="16" t="s">
        <v>229</v>
      </c>
      <c r="H254" s="16">
        <f>2972904.87/1000</f>
        <v>2972.9048700000003</v>
      </c>
      <c r="I254" s="166" t="str">
        <f>K254</f>
        <v>__</v>
      </c>
      <c r="J254" s="16" t="s">
        <v>25</v>
      </c>
      <c r="K254" s="22" t="s">
        <v>25</v>
      </c>
    </row>
    <row r="255" spans="1:11" s="3" customFormat="1" ht="32.25" customHeight="1" x14ac:dyDescent="0.25">
      <c r="A255" s="1"/>
      <c r="B255" s="158"/>
      <c r="C255" s="160"/>
      <c r="D255" s="160"/>
      <c r="E255" s="152"/>
      <c r="F255" s="152"/>
      <c r="G255" s="16" t="s">
        <v>230</v>
      </c>
      <c r="H255" s="16">
        <f>330322.76/1000</f>
        <v>330.32276000000002</v>
      </c>
      <c r="I255" s="152"/>
      <c r="J255" s="16" t="s">
        <v>25</v>
      </c>
      <c r="K255" s="22" t="s">
        <v>25</v>
      </c>
    </row>
    <row r="256" spans="1:11" s="3" customFormat="1" ht="35.25" customHeight="1" x14ac:dyDescent="0.25">
      <c r="A256" s="1"/>
      <c r="B256" s="158"/>
      <c r="C256" s="167" t="s">
        <v>209</v>
      </c>
      <c r="D256" s="167" t="s">
        <v>231</v>
      </c>
      <c r="E256" s="166">
        <f>143412108/1000</f>
        <v>143412.10800000001</v>
      </c>
      <c r="F256" s="166">
        <f>SUM(H256:H265)</f>
        <v>61680.542700000005</v>
      </c>
      <c r="G256" s="16" t="s">
        <v>232</v>
      </c>
      <c r="H256" s="16">
        <f>32308412.05/1000</f>
        <v>32308.412049999999</v>
      </c>
      <c r="I256" s="166">
        <f>SUM(K256:K265)</f>
        <v>13822.209199800001</v>
      </c>
      <c r="J256" s="100" t="s">
        <v>233</v>
      </c>
      <c r="K256" s="22">
        <v>7094.4477311999999</v>
      </c>
    </row>
    <row r="257" spans="1:11" s="3" customFormat="1" ht="31.5" customHeight="1" x14ac:dyDescent="0.25">
      <c r="A257" s="1"/>
      <c r="B257" s="158"/>
      <c r="C257" s="170"/>
      <c r="D257" s="170"/>
      <c r="E257" s="171"/>
      <c r="F257" s="171"/>
      <c r="G257" s="16" t="s">
        <v>234</v>
      </c>
      <c r="H257" s="16">
        <f>4144907.68/1000</f>
        <v>4144.9076800000003</v>
      </c>
      <c r="I257" s="171"/>
      <c r="J257" s="100" t="s">
        <v>235</v>
      </c>
      <c r="K257" s="22">
        <v>3081.1923999999999</v>
      </c>
    </row>
    <row r="258" spans="1:11" s="3" customFormat="1" ht="31.5" customHeight="1" x14ac:dyDescent="0.25">
      <c r="A258" s="1"/>
      <c r="B258" s="158"/>
      <c r="C258" s="170"/>
      <c r="D258" s="170"/>
      <c r="E258" s="171"/>
      <c r="F258" s="171"/>
      <c r="G258" s="16" t="s">
        <v>236</v>
      </c>
      <c r="H258" s="16">
        <f>444646.55/1000</f>
        <v>444.64654999999999</v>
      </c>
      <c r="I258" s="171"/>
      <c r="J258" s="100" t="s">
        <v>237</v>
      </c>
      <c r="K258" s="22">
        <v>2790.7755200000001</v>
      </c>
    </row>
    <row r="259" spans="1:11" s="3" customFormat="1" ht="31.5" customHeight="1" x14ac:dyDescent="0.25">
      <c r="A259" s="1"/>
      <c r="B259" s="158"/>
      <c r="C259" s="170"/>
      <c r="D259" s="170"/>
      <c r="E259" s="171"/>
      <c r="F259" s="171"/>
      <c r="G259" s="16" t="s">
        <v>238</v>
      </c>
      <c r="H259" s="16">
        <f>166742.46/1000</f>
        <v>166.74245999999999</v>
      </c>
      <c r="I259" s="171"/>
      <c r="J259" s="100" t="s">
        <v>239</v>
      </c>
      <c r="K259" s="22">
        <v>855.79354860000001</v>
      </c>
    </row>
    <row r="260" spans="1:11" s="3" customFormat="1" ht="31.5" customHeight="1" x14ac:dyDescent="0.25">
      <c r="A260" s="1"/>
      <c r="B260" s="158"/>
      <c r="C260" s="170"/>
      <c r="D260" s="170"/>
      <c r="E260" s="171"/>
      <c r="F260" s="171"/>
      <c r="G260" s="16" t="s">
        <v>240</v>
      </c>
      <c r="H260" s="16">
        <f>8675990.26/1000</f>
        <v>8675.9902600000005</v>
      </c>
      <c r="I260" s="171"/>
      <c r="J260" s="100" t="s">
        <v>25</v>
      </c>
      <c r="K260" s="22" t="s">
        <v>25</v>
      </c>
    </row>
    <row r="261" spans="1:11" s="3" customFormat="1" ht="31.5" customHeight="1" x14ac:dyDescent="0.25">
      <c r="A261" s="1"/>
      <c r="B261" s="158"/>
      <c r="C261" s="170"/>
      <c r="D261" s="170"/>
      <c r="E261" s="171"/>
      <c r="F261" s="171"/>
      <c r="G261" s="16" t="s">
        <v>241</v>
      </c>
      <c r="H261" s="16">
        <f>598633.5/1000</f>
        <v>598.63350000000003</v>
      </c>
      <c r="I261" s="171"/>
      <c r="J261" s="100" t="s">
        <v>25</v>
      </c>
      <c r="K261" s="22" t="s">
        <v>25</v>
      </c>
    </row>
    <row r="262" spans="1:11" s="3" customFormat="1" ht="31.5" customHeight="1" x14ac:dyDescent="0.25">
      <c r="A262" s="1"/>
      <c r="B262" s="158"/>
      <c r="C262" s="170"/>
      <c r="D262" s="170"/>
      <c r="E262" s="171"/>
      <c r="F262" s="171"/>
      <c r="G262" s="16" t="s">
        <v>242</v>
      </c>
      <c r="H262" s="16">
        <f>5354126.77/1000</f>
        <v>5354.1267699999999</v>
      </c>
      <c r="I262" s="171"/>
      <c r="J262" s="100" t="s">
        <v>25</v>
      </c>
      <c r="K262" s="22" t="s">
        <v>25</v>
      </c>
    </row>
    <row r="263" spans="1:11" s="3" customFormat="1" ht="31.5" customHeight="1" x14ac:dyDescent="0.25">
      <c r="A263" s="1"/>
      <c r="B263" s="158"/>
      <c r="C263" s="170"/>
      <c r="D263" s="170"/>
      <c r="E263" s="171"/>
      <c r="F263" s="171"/>
      <c r="G263" s="16" t="s">
        <v>243</v>
      </c>
      <c r="H263" s="16">
        <v>6385.0029599999998</v>
      </c>
      <c r="I263" s="171"/>
      <c r="J263" s="100" t="s">
        <v>25</v>
      </c>
      <c r="K263" s="22" t="s">
        <v>25</v>
      </c>
    </row>
    <row r="264" spans="1:11" s="3" customFormat="1" ht="31.5" customHeight="1" x14ac:dyDescent="0.25">
      <c r="A264" s="1"/>
      <c r="B264" s="158"/>
      <c r="C264" s="170"/>
      <c r="D264" s="170"/>
      <c r="E264" s="171"/>
      <c r="F264" s="171"/>
      <c r="G264" s="16" t="s">
        <v>244</v>
      </c>
      <c r="H264" s="16">
        <v>3602.0804700000003</v>
      </c>
      <c r="I264" s="171"/>
      <c r="J264" s="100" t="s">
        <v>25</v>
      </c>
      <c r="K264" s="22" t="s">
        <v>25</v>
      </c>
    </row>
    <row r="265" spans="1:11" s="3" customFormat="1" ht="31.5" hidden="1" customHeight="1" x14ac:dyDescent="0.25">
      <c r="A265" s="1"/>
      <c r="B265" s="158"/>
      <c r="C265" s="160"/>
      <c r="D265" s="160"/>
      <c r="E265" s="152"/>
      <c r="F265" s="152"/>
      <c r="G265" s="16"/>
      <c r="H265" s="16"/>
      <c r="I265" s="152"/>
      <c r="J265" s="100"/>
      <c r="K265" s="22"/>
    </row>
    <row r="266" spans="1:11" s="3" customFormat="1" ht="30.75" customHeight="1" x14ac:dyDescent="0.25">
      <c r="A266" s="1"/>
      <c r="B266" s="158"/>
      <c r="C266" s="175" t="s">
        <v>245</v>
      </c>
      <c r="D266" s="175"/>
      <c r="E266" s="14" t="s">
        <v>25</v>
      </c>
      <c r="F266" s="14" t="str">
        <f>H266</f>
        <v>__</v>
      </c>
      <c r="G266" s="14" t="s">
        <v>25</v>
      </c>
      <c r="H266" s="14" t="s">
        <v>25</v>
      </c>
      <c r="I266" s="14">
        <f>K266</f>
        <v>9049.4472815999998</v>
      </c>
      <c r="J266" s="14" t="s">
        <v>25</v>
      </c>
      <c r="K266" s="22">
        <v>9049.4472815999998</v>
      </c>
    </row>
    <row r="267" spans="1:11" s="3" customFormat="1" ht="30.75" customHeight="1" x14ac:dyDescent="0.25">
      <c r="A267" s="1"/>
      <c r="B267" s="158"/>
      <c r="C267" s="175" t="s">
        <v>246</v>
      </c>
      <c r="D267" s="175"/>
      <c r="E267" s="14" t="s">
        <v>25</v>
      </c>
      <c r="F267" s="14" t="str">
        <f>H267</f>
        <v>__</v>
      </c>
      <c r="G267" s="14" t="s">
        <v>25</v>
      </c>
      <c r="H267" s="14" t="s">
        <v>25</v>
      </c>
      <c r="I267" s="14">
        <f>K267</f>
        <v>3107.0911815999998</v>
      </c>
      <c r="J267" s="14" t="s">
        <v>25</v>
      </c>
      <c r="K267" s="22">
        <v>3107.0911815999998</v>
      </c>
    </row>
    <row r="268" spans="1:11" s="3" customFormat="1" ht="31.5" customHeight="1" x14ac:dyDescent="0.25">
      <c r="A268" s="1"/>
      <c r="B268" s="158"/>
      <c r="C268" s="13" t="s">
        <v>26</v>
      </c>
      <c r="D268" s="13" t="s">
        <v>27</v>
      </c>
      <c r="E268" s="13" t="s">
        <v>25</v>
      </c>
      <c r="F268" s="14">
        <f>H268</f>
        <v>62.163640000000001</v>
      </c>
      <c r="G268" s="14" t="s">
        <v>247</v>
      </c>
      <c r="H268" s="14">
        <f>62163.64/1000</f>
        <v>62.163640000000001</v>
      </c>
      <c r="I268" s="24" t="str">
        <f>K268</f>
        <v>__</v>
      </c>
      <c r="J268" s="24" t="s">
        <v>25</v>
      </c>
      <c r="K268" s="22" t="s">
        <v>25</v>
      </c>
    </row>
    <row r="269" spans="1:11" s="3" customFormat="1" ht="30" x14ac:dyDescent="0.25">
      <c r="A269" s="1"/>
      <c r="B269" s="158"/>
      <c r="C269" s="167" t="s">
        <v>248</v>
      </c>
      <c r="D269" s="167" t="s">
        <v>249</v>
      </c>
      <c r="E269" s="166">
        <f>6728005.19/1000</f>
        <v>6728.0051900000008</v>
      </c>
      <c r="F269" s="166">
        <f>SUM(H269:H278)</f>
        <v>6745.9823299999998</v>
      </c>
      <c r="G269" s="14" t="s">
        <v>250</v>
      </c>
      <c r="H269" s="14">
        <f>436291/1000</f>
        <v>436.291</v>
      </c>
      <c r="I269" s="166">
        <f>SUM(K269:K278)</f>
        <v>0</v>
      </c>
      <c r="J269" s="24" t="s">
        <v>25</v>
      </c>
      <c r="K269" s="22" t="s">
        <v>25</v>
      </c>
    </row>
    <row r="270" spans="1:11" s="3" customFormat="1" ht="30" x14ac:dyDescent="0.25">
      <c r="A270" s="1"/>
      <c r="B270" s="158"/>
      <c r="C270" s="170"/>
      <c r="D270" s="170"/>
      <c r="E270" s="171"/>
      <c r="F270" s="171"/>
      <c r="G270" s="14" t="s">
        <v>251</v>
      </c>
      <c r="H270" s="14">
        <f>618236.72/1000</f>
        <v>618.23671999999999</v>
      </c>
      <c r="I270" s="171"/>
      <c r="J270" s="24" t="s">
        <v>25</v>
      </c>
      <c r="K270" s="22" t="s">
        <v>25</v>
      </c>
    </row>
    <row r="271" spans="1:11" s="3" customFormat="1" ht="30" x14ac:dyDescent="0.25">
      <c r="A271" s="1"/>
      <c r="B271" s="158"/>
      <c r="C271" s="170"/>
      <c r="D271" s="170"/>
      <c r="E271" s="171"/>
      <c r="F271" s="171"/>
      <c r="G271" s="14" t="s">
        <v>252</v>
      </c>
      <c r="H271" s="14">
        <f>102887.28/1000</f>
        <v>102.88728</v>
      </c>
      <c r="I271" s="171"/>
      <c r="J271" s="24" t="s">
        <v>25</v>
      </c>
      <c r="K271" s="22" t="s">
        <v>25</v>
      </c>
    </row>
    <row r="272" spans="1:11" s="3" customFormat="1" ht="30" x14ac:dyDescent="0.25">
      <c r="A272" s="1"/>
      <c r="B272" s="158"/>
      <c r="C272" s="170"/>
      <c r="D272" s="170"/>
      <c r="E272" s="171"/>
      <c r="F272" s="171"/>
      <c r="G272" s="14" t="s">
        <v>253</v>
      </c>
      <c r="H272" s="14">
        <f>1269676.5/1000</f>
        <v>1269.6765</v>
      </c>
      <c r="I272" s="171"/>
      <c r="J272" s="24" t="s">
        <v>25</v>
      </c>
      <c r="K272" s="22" t="s">
        <v>25</v>
      </c>
    </row>
    <row r="273" spans="1:11" s="3" customFormat="1" ht="30" x14ac:dyDescent="0.25">
      <c r="A273" s="1"/>
      <c r="B273" s="158"/>
      <c r="C273" s="170"/>
      <c r="D273" s="170"/>
      <c r="E273" s="171"/>
      <c r="F273" s="171"/>
      <c r="G273" s="14" t="s">
        <v>254</v>
      </c>
      <c r="H273" s="14">
        <f>656606.92/1000</f>
        <v>656.60692000000006</v>
      </c>
      <c r="I273" s="171"/>
      <c r="J273" s="24" t="s">
        <v>25</v>
      </c>
      <c r="K273" s="22" t="s">
        <v>25</v>
      </c>
    </row>
    <row r="274" spans="1:11" s="3" customFormat="1" ht="30" x14ac:dyDescent="0.25">
      <c r="A274" s="1"/>
      <c r="B274" s="158"/>
      <c r="C274" s="170"/>
      <c r="D274" s="170"/>
      <c r="E274" s="171"/>
      <c r="F274" s="171"/>
      <c r="G274" s="14" t="s">
        <v>255</v>
      </c>
      <c r="H274" s="14">
        <f>909231.36/1000</f>
        <v>909.23136</v>
      </c>
      <c r="I274" s="171"/>
      <c r="J274" s="24" t="s">
        <v>25</v>
      </c>
      <c r="K274" s="22" t="s">
        <v>25</v>
      </c>
    </row>
    <row r="275" spans="1:11" s="3" customFormat="1" ht="33.75" customHeight="1" x14ac:dyDescent="0.25">
      <c r="A275" s="1"/>
      <c r="B275" s="158"/>
      <c r="C275" s="170"/>
      <c r="D275" s="170"/>
      <c r="E275" s="171"/>
      <c r="F275" s="171"/>
      <c r="G275" s="14" t="s">
        <v>256</v>
      </c>
      <c r="H275" s="14">
        <f>1082694.64/1000</f>
        <v>1082.6946399999999</v>
      </c>
      <c r="I275" s="171"/>
      <c r="J275" s="24" t="s">
        <v>25</v>
      </c>
      <c r="K275" s="22" t="s">
        <v>25</v>
      </c>
    </row>
    <row r="276" spans="1:11" s="3" customFormat="1" ht="33.75" customHeight="1" x14ac:dyDescent="0.25">
      <c r="A276" s="1"/>
      <c r="B276" s="158"/>
      <c r="C276" s="170"/>
      <c r="D276" s="170"/>
      <c r="E276" s="171"/>
      <c r="F276" s="171"/>
      <c r="G276" s="14" t="s">
        <v>257</v>
      </c>
      <c r="H276" s="14">
        <f>886276.54/1000</f>
        <v>886.27654000000007</v>
      </c>
      <c r="I276" s="171"/>
      <c r="J276" s="24" t="s">
        <v>25</v>
      </c>
      <c r="K276" s="22" t="s">
        <v>25</v>
      </c>
    </row>
    <row r="277" spans="1:11" s="3" customFormat="1" ht="33.75" customHeight="1" x14ac:dyDescent="0.25">
      <c r="A277" s="1"/>
      <c r="B277" s="158"/>
      <c r="C277" s="170"/>
      <c r="D277" s="170"/>
      <c r="E277" s="171"/>
      <c r="F277" s="171"/>
      <c r="G277" s="14" t="s">
        <v>258</v>
      </c>
      <c r="H277" s="14">
        <f>784081.37/1000</f>
        <v>784.08136999999999</v>
      </c>
      <c r="I277" s="171"/>
      <c r="J277" s="24" t="s">
        <v>25</v>
      </c>
      <c r="K277" s="22" t="s">
        <v>25</v>
      </c>
    </row>
    <row r="278" spans="1:11" s="3" customFormat="1" ht="33.75" hidden="1" customHeight="1" x14ac:dyDescent="0.25">
      <c r="A278" s="1"/>
      <c r="B278" s="158"/>
      <c r="C278" s="160"/>
      <c r="D278" s="160"/>
      <c r="E278" s="152"/>
      <c r="F278" s="152"/>
      <c r="G278" s="14"/>
      <c r="H278" s="14"/>
      <c r="I278" s="152"/>
      <c r="J278" s="24"/>
      <c r="K278" s="22"/>
    </row>
    <row r="279" spans="1:11" s="3" customFormat="1" ht="30" customHeight="1" x14ac:dyDescent="0.25">
      <c r="A279" s="1"/>
      <c r="B279" s="158"/>
      <c r="C279" s="167" t="s">
        <v>26</v>
      </c>
      <c r="D279" s="167" t="s">
        <v>27</v>
      </c>
      <c r="E279" s="167" t="s">
        <v>25</v>
      </c>
      <c r="F279" s="166">
        <f>SUM(H279:H283)</f>
        <v>686.43378599999994</v>
      </c>
      <c r="G279" s="14"/>
      <c r="H279" s="14">
        <f>14528.49/1000</f>
        <v>14.52849</v>
      </c>
      <c r="I279" s="166">
        <f>SUM(K279:K283)</f>
        <v>0</v>
      </c>
      <c r="J279" s="24" t="s">
        <v>25</v>
      </c>
      <c r="K279" s="22" t="s">
        <v>25</v>
      </c>
    </row>
    <row r="280" spans="1:11" s="3" customFormat="1" ht="49.5" customHeight="1" x14ac:dyDescent="0.25">
      <c r="A280" s="1"/>
      <c r="B280" s="158"/>
      <c r="C280" s="170"/>
      <c r="D280" s="170"/>
      <c r="E280" s="170"/>
      <c r="F280" s="171"/>
      <c r="G280" s="14" t="s">
        <v>259</v>
      </c>
      <c r="H280" s="14">
        <f>20587.29/1000</f>
        <v>20.587289999999999</v>
      </c>
      <c r="I280" s="171"/>
      <c r="J280" s="24" t="s">
        <v>25</v>
      </c>
      <c r="K280" s="22" t="s">
        <v>25</v>
      </c>
    </row>
    <row r="281" spans="1:11" s="3" customFormat="1" ht="65.25" customHeight="1" x14ac:dyDescent="0.25">
      <c r="A281" s="1"/>
      <c r="B281" s="158"/>
      <c r="C281" s="170"/>
      <c r="D281" s="170"/>
      <c r="E281" s="170"/>
      <c r="F281" s="171"/>
      <c r="G281" s="14" t="s">
        <v>260</v>
      </c>
      <c r="H281" s="14">
        <f>97848.786/1000</f>
        <v>97.84878599999999</v>
      </c>
      <c r="I281" s="171"/>
      <c r="J281" s="24" t="s">
        <v>25</v>
      </c>
      <c r="K281" s="22" t="s">
        <v>25</v>
      </c>
    </row>
    <row r="282" spans="1:11" s="3" customFormat="1" ht="46.5" customHeight="1" x14ac:dyDescent="0.25">
      <c r="A282" s="1"/>
      <c r="B282" s="158"/>
      <c r="C282" s="170"/>
      <c r="D282" s="170"/>
      <c r="E282" s="170"/>
      <c r="F282" s="171"/>
      <c r="G282" s="13" t="s">
        <v>86</v>
      </c>
      <c r="H282" s="14">
        <f>29513/1000</f>
        <v>29.513000000000002</v>
      </c>
      <c r="I282" s="171"/>
      <c r="J282" s="24" t="s">
        <v>25</v>
      </c>
      <c r="K282" s="22" t="s">
        <v>25</v>
      </c>
    </row>
    <row r="283" spans="1:11" s="3" customFormat="1" ht="46.5" customHeight="1" x14ac:dyDescent="0.25">
      <c r="A283" s="1"/>
      <c r="B283" s="158"/>
      <c r="C283" s="170"/>
      <c r="D283" s="170"/>
      <c r="E283" s="170"/>
      <c r="F283" s="171"/>
      <c r="G283" s="13" t="s">
        <v>261</v>
      </c>
      <c r="H283" s="14">
        <f>523956.22/1000</f>
        <v>523.95621999999992</v>
      </c>
      <c r="I283" s="171"/>
      <c r="J283" s="101" t="s">
        <v>25</v>
      </c>
      <c r="K283" s="102" t="s">
        <v>25</v>
      </c>
    </row>
    <row r="284" spans="1:11" s="3" customFormat="1" ht="65.25" hidden="1" customHeight="1" x14ac:dyDescent="0.25">
      <c r="A284" s="1"/>
      <c r="B284" s="158"/>
      <c r="C284" s="160"/>
      <c r="D284" s="160"/>
      <c r="E284" s="160"/>
      <c r="F284" s="152"/>
      <c r="G284" s="13"/>
      <c r="H284" s="14"/>
      <c r="I284" s="152"/>
      <c r="J284" s="101"/>
      <c r="K284" s="102"/>
    </row>
    <row r="285" spans="1:11" s="3" customFormat="1" ht="28.5" customHeight="1" x14ac:dyDescent="0.25">
      <c r="A285" s="1"/>
      <c r="B285" s="158"/>
      <c r="C285" s="167" t="s">
        <v>262</v>
      </c>
      <c r="D285" s="167" t="s">
        <v>263</v>
      </c>
      <c r="E285" s="166">
        <f>500000/1000</f>
        <v>500</v>
      </c>
      <c r="F285" s="166">
        <f>H285+H286</f>
        <v>500</v>
      </c>
      <c r="G285" s="14" t="s">
        <v>264</v>
      </c>
      <c r="H285" s="14">
        <f>250000/1000</f>
        <v>250</v>
      </c>
      <c r="I285" s="166">
        <f>K285+K286</f>
        <v>500</v>
      </c>
      <c r="J285" s="166" t="s">
        <v>265</v>
      </c>
      <c r="K285" s="196">
        <f>500000/1000</f>
        <v>500</v>
      </c>
    </row>
    <row r="286" spans="1:11" s="3" customFormat="1" ht="28.5" customHeight="1" x14ac:dyDescent="0.25">
      <c r="A286" s="1"/>
      <c r="B286" s="158"/>
      <c r="C286" s="160"/>
      <c r="D286" s="160"/>
      <c r="E286" s="152"/>
      <c r="F286" s="152"/>
      <c r="G286" s="14" t="s">
        <v>266</v>
      </c>
      <c r="H286" s="14">
        <f>250000/1000</f>
        <v>250</v>
      </c>
      <c r="I286" s="152"/>
      <c r="J286" s="152"/>
      <c r="K286" s="197"/>
    </row>
    <row r="287" spans="1:11" s="3" customFormat="1" ht="32.25" customHeight="1" x14ac:dyDescent="0.25">
      <c r="A287" s="1"/>
      <c r="B287" s="158"/>
      <c r="C287" s="15" t="s">
        <v>267</v>
      </c>
      <c r="D287" s="15" t="s">
        <v>268</v>
      </c>
      <c r="E287" s="16">
        <f>7889385.36/1000</f>
        <v>7889.3853600000002</v>
      </c>
      <c r="F287" s="16">
        <f>H287</f>
        <v>6995.7507599999999</v>
      </c>
      <c r="G287" s="14" t="s">
        <v>269</v>
      </c>
      <c r="H287" s="14">
        <f>6995750.76/1000</f>
        <v>6995.7507599999999</v>
      </c>
      <c r="I287" s="16" t="str">
        <f>K287</f>
        <v>__</v>
      </c>
      <c r="J287" s="16" t="s">
        <v>25</v>
      </c>
      <c r="K287" s="22" t="s">
        <v>25</v>
      </c>
    </row>
    <row r="288" spans="1:11" s="3" customFormat="1" ht="61.5" customHeight="1" x14ac:dyDescent="0.25">
      <c r="A288" s="1"/>
      <c r="B288" s="158"/>
      <c r="C288" s="15" t="s">
        <v>270</v>
      </c>
      <c r="D288" s="15" t="s">
        <v>271</v>
      </c>
      <c r="E288" s="16">
        <f>766573.95/1000</f>
        <v>766.57394999999997</v>
      </c>
      <c r="F288" s="16">
        <f>H288</f>
        <v>766.57394999999997</v>
      </c>
      <c r="G288" s="14" t="s">
        <v>272</v>
      </c>
      <c r="H288" s="14">
        <f>766573.95/1000</f>
        <v>766.57394999999997</v>
      </c>
      <c r="I288" s="16" t="str">
        <f>K288</f>
        <v>__</v>
      </c>
      <c r="J288" s="16" t="s">
        <v>25</v>
      </c>
      <c r="K288" s="22" t="s">
        <v>25</v>
      </c>
    </row>
    <row r="289" spans="1:11" s="3" customFormat="1" ht="30" customHeight="1" x14ac:dyDescent="0.25">
      <c r="A289" s="1"/>
      <c r="B289" s="158"/>
      <c r="C289" s="163" t="s">
        <v>273</v>
      </c>
      <c r="D289" s="162"/>
      <c r="E289" s="38" t="s">
        <v>25</v>
      </c>
      <c r="F289" s="16">
        <f t="shared" ref="F289:F315" si="16">H289</f>
        <v>140.96976000000001</v>
      </c>
      <c r="G289" s="38" t="s">
        <v>25</v>
      </c>
      <c r="H289" s="103">
        <f>140969.76/1000</f>
        <v>140.96976000000001</v>
      </c>
      <c r="I289" s="16">
        <f t="shared" ref="I289:I339" si="17">K289</f>
        <v>140.96976000000001</v>
      </c>
      <c r="J289" s="100" t="s">
        <v>25</v>
      </c>
      <c r="K289" s="22">
        <f>H289</f>
        <v>140.96976000000001</v>
      </c>
    </row>
    <row r="290" spans="1:11" s="3" customFormat="1" ht="30.75" customHeight="1" x14ac:dyDescent="0.25">
      <c r="A290" s="1"/>
      <c r="B290" s="158"/>
      <c r="C290" s="195" t="s">
        <v>274</v>
      </c>
      <c r="D290" s="179"/>
      <c r="E290" s="14" t="s">
        <v>25</v>
      </c>
      <c r="F290" s="14">
        <f t="shared" si="16"/>
        <v>123.94182000000001</v>
      </c>
      <c r="G290" s="14" t="s">
        <v>25</v>
      </c>
      <c r="H290" s="103">
        <f>123941.82/1000</f>
        <v>123.94182000000001</v>
      </c>
      <c r="I290" s="16">
        <f t="shared" si="17"/>
        <v>123.94182000000001</v>
      </c>
      <c r="J290" s="16" t="s">
        <v>25</v>
      </c>
      <c r="K290" s="22">
        <f>123941.82/1000</f>
        <v>123.94182000000001</v>
      </c>
    </row>
    <row r="291" spans="1:11" s="3" customFormat="1" ht="31.5" customHeight="1" x14ac:dyDescent="0.25">
      <c r="A291" s="1"/>
      <c r="B291" s="158"/>
      <c r="C291" s="163" t="s">
        <v>275</v>
      </c>
      <c r="D291" s="162"/>
      <c r="E291" s="38" t="s">
        <v>25</v>
      </c>
      <c r="F291" s="16">
        <f t="shared" si="16"/>
        <v>61.980620000000002</v>
      </c>
      <c r="G291" s="38" t="s">
        <v>25</v>
      </c>
      <c r="H291" s="104">
        <f>61980.62/1000</f>
        <v>61.980620000000002</v>
      </c>
      <c r="I291" s="100">
        <f t="shared" si="17"/>
        <v>61.980620000000002</v>
      </c>
      <c r="J291" s="100" t="s">
        <v>25</v>
      </c>
      <c r="K291" s="22">
        <f>61980.62/1000</f>
        <v>61.980620000000002</v>
      </c>
    </row>
    <row r="292" spans="1:11" s="3" customFormat="1" ht="32.25" customHeight="1" x14ac:dyDescent="0.25">
      <c r="A292" s="1"/>
      <c r="B292" s="158"/>
      <c r="C292" s="195" t="s">
        <v>276</v>
      </c>
      <c r="D292" s="179"/>
      <c r="E292" s="14" t="s">
        <v>25</v>
      </c>
      <c r="F292" s="14">
        <f t="shared" si="16"/>
        <v>52.593230000000005</v>
      </c>
      <c r="G292" s="14" t="s">
        <v>25</v>
      </c>
      <c r="H292" s="103">
        <f>52593.23/1000</f>
        <v>52.593230000000005</v>
      </c>
      <c r="I292" s="16">
        <f t="shared" si="17"/>
        <v>52.593230000000005</v>
      </c>
      <c r="J292" s="16" t="s">
        <v>25</v>
      </c>
      <c r="K292" s="41">
        <f>52593.23/1000</f>
        <v>52.593230000000005</v>
      </c>
    </row>
    <row r="293" spans="1:11" s="3" customFormat="1" ht="30" customHeight="1" x14ac:dyDescent="0.25">
      <c r="A293" s="1"/>
      <c r="B293" s="158"/>
      <c r="C293" s="195" t="s">
        <v>277</v>
      </c>
      <c r="D293" s="179"/>
      <c r="E293" s="14" t="s">
        <v>25</v>
      </c>
      <c r="F293" s="14">
        <f t="shared" si="16"/>
        <v>58.447319999999998</v>
      </c>
      <c r="G293" s="14" t="s">
        <v>25</v>
      </c>
      <c r="H293" s="104">
        <f>58447.32/1000</f>
        <v>58.447319999999998</v>
      </c>
      <c r="I293" s="24">
        <f t="shared" si="17"/>
        <v>58.447319999999998</v>
      </c>
      <c r="J293" s="14" t="s">
        <v>25</v>
      </c>
      <c r="K293" s="41">
        <f>58447.32/1000</f>
        <v>58.447319999999998</v>
      </c>
    </row>
    <row r="294" spans="1:11" s="3" customFormat="1" ht="30" customHeight="1" x14ac:dyDescent="0.25">
      <c r="A294" s="1"/>
      <c r="B294" s="158"/>
      <c r="C294" s="195" t="s">
        <v>278</v>
      </c>
      <c r="D294" s="179"/>
      <c r="E294" s="14" t="s">
        <v>25</v>
      </c>
      <c r="F294" s="14">
        <f t="shared" si="16"/>
        <v>527.19017000000008</v>
      </c>
      <c r="G294" s="14" t="s">
        <v>25</v>
      </c>
      <c r="H294" s="103">
        <f>527190.17/1000</f>
        <v>527.19017000000008</v>
      </c>
      <c r="I294" s="14">
        <f t="shared" si="17"/>
        <v>527.19017000000008</v>
      </c>
      <c r="J294" s="14" t="s">
        <v>25</v>
      </c>
      <c r="K294" s="41">
        <f>527190.17/1000</f>
        <v>527.19017000000008</v>
      </c>
    </row>
    <row r="295" spans="1:11" s="3" customFormat="1" ht="31.5" customHeight="1" x14ac:dyDescent="0.25">
      <c r="A295" s="1"/>
      <c r="B295" s="158"/>
      <c r="C295" s="195" t="s">
        <v>279</v>
      </c>
      <c r="D295" s="179"/>
      <c r="E295" s="14" t="s">
        <v>25</v>
      </c>
      <c r="F295" s="14">
        <f t="shared" si="16"/>
        <v>221.56811999999999</v>
      </c>
      <c r="G295" s="14" t="s">
        <v>25</v>
      </c>
      <c r="H295" s="103">
        <f t="shared" ref="H295:H300" si="18">K295</f>
        <v>221.56811999999999</v>
      </c>
      <c r="I295" s="14">
        <f t="shared" si="17"/>
        <v>221.56811999999999</v>
      </c>
      <c r="J295" s="14" t="s">
        <v>25</v>
      </c>
      <c r="K295" s="22">
        <f>221568.12/1000</f>
        <v>221.56811999999999</v>
      </c>
    </row>
    <row r="296" spans="1:11" s="3" customFormat="1" ht="31.5" customHeight="1" x14ac:dyDescent="0.25">
      <c r="A296" s="1"/>
      <c r="B296" s="158"/>
      <c r="C296" s="195" t="s">
        <v>280</v>
      </c>
      <c r="D296" s="179"/>
      <c r="E296" s="14" t="s">
        <v>25</v>
      </c>
      <c r="F296" s="14">
        <f t="shared" si="16"/>
        <v>201.13813000000002</v>
      </c>
      <c r="G296" s="14" t="s">
        <v>25</v>
      </c>
      <c r="H296" s="103">
        <f t="shared" si="18"/>
        <v>201.13813000000002</v>
      </c>
      <c r="I296" s="14">
        <f t="shared" si="17"/>
        <v>201.13813000000002</v>
      </c>
      <c r="J296" s="14" t="s">
        <v>25</v>
      </c>
      <c r="K296" s="22">
        <f>201138.13/1000</f>
        <v>201.13813000000002</v>
      </c>
    </row>
    <row r="297" spans="1:11" s="3" customFormat="1" ht="31.5" customHeight="1" x14ac:dyDescent="0.25">
      <c r="A297" s="1"/>
      <c r="B297" s="158"/>
      <c r="C297" s="195" t="s">
        <v>281</v>
      </c>
      <c r="D297" s="179"/>
      <c r="E297" s="14" t="s">
        <v>25</v>
      </c>
      <c r="F297" s="14">
        <f t="shared" si="16"/>
        <v>188.07392999999999</v>
      </c>
      <c r="G297" s="14" t="s">
        <v>25</v>
      </c>
      <c r="H297" s="104">
        <f t="shared" si="18"/>
        <v>188.07392999999999</v>
      </c>
      <c r="I297" s="24">
        <f t="shared" si="17"/>
        <v>188.07392999999999</v>
      </c>
      <c r="J297" s="14" t="s">
        <v>25</v>
      </c>
      <c r="K297" s="22">
        <f>188073.93/1000</f>
        <v>188.07392999999999</v>
      </c>
    </row>
    <row r="298" spans="1:11" s="3" customFormat="1" ht="31.5" customHeight="1" x14ac:dyDescent="0.25">
      <c r="A298" s="1"/>
      <c r="B298" s="158"/>
      <c r="C298" s="178" t="s">
        <v>282</v>
      </c>
      <c r="D298" s="179"/>
      <c r="E298" s="14" t="s">
        <v>25</v>
      </c>
      <c r="F298" s="14">
        <f t="shared" si="16"/>
        <v>196.38514999999998</v>
      </c>
      <c r="G298" s="14" t="s">
        <v>25</v>
      </c>
      <c r="H298" s="104">
        <f t="shared" si="18"/>
        <v>196.38514999999998</v>
      </c>
      <c r="I298" s="24">
        <f t="shared" si="17"/>
        <v>196.38514999999998</v>
      </c>
      <c r="J298" s="14" t="s">
        <v>25</v>
      </c>
      <c r="K298" s="22">
        <f>196385.15/1000</f>
        <v>196.38514999999998</v>
      </c>
    </row>
    <row r="299" spans="1:11" s="3" customFormat="1" ht="36.75" customHeight="1" x14ac:dyDescent="0.25">
      <c r="A299" s="1"/>
      <c r="B299" s="158"/>
      <c r="C299" s="175" t="s">
        <v>283</v>
      </c>
      <c r="D299" s="175"/>
      <c r="E299" s="13" t="s">
        <v>25</v>
      </c>
      <c r="F299" s="14">
        <f t="shared" si="16"/>
        <v>198.61122</v>
      </c>
      <c r="G299" s="13" t="s">
        <v>25</v>
      </c>
      <c r="H299" s="104">
        <f t="shared" si="18"/>
        <v>198.61122</v>
      </c>
      <c r="I299" s="23">
        <f t="shared" si="17"/>
        <v>198.61122</v>
      </c>
      <c r="J299" s="13" t="s">
        <v>25</v>
      </c>
      <c r="K299" s="39">
        <f>198611.22/1000</f>
        <v>198.61122</v>
      </c>
    </row>
    <row r="300" spans="1:11" s="3" customFormat="1" ht="32.25" customHeight="1" x14ac:dyDescent="0.25">
      <c r="A300" s="1"/>
      <c r="B300" s="158"/>
      <c r="C300" s="175" t="s">
        <v>284</v>
      </c>
      <c r="D300" s="175"/>
      <c r="E300" s="13" t="s">
        <v>25</v>
      </c>
      <c r="F300" s="14">
        <f t="shared" si="16"/>
        <v>210.29521</v>
      </c>
      <c r="G300" s="13" t="s">
        <v>25</v>
      </c>
      <c r="H300" s="104">
        <f t="shared" si="18"/>
        <v>210.29521</v>
      </c>
      <c r="I300" s="23">
        <f>K300</f>
        <v>210.29521</v>
      </c>
      <c r="J300" s="13" t="s">
        <v>25</v>
      </c>
      <c r="K300" s="39">
        <f>210295.21/1000</f>
        <v>210.29521</v>
      </c>
    </row>
    <row r="301" spans="1:11" s="3" customFormat="1" ht="32.25" customHeight="1" x14ac:dyDescent="0.25">
      <c r="A301" s="1"/>
      <c r="B301" s="158"/>
      <c r="C301" s="178" t="s">
        <v>40</v>
      </c>
      <c r="D301" s="179"/>
      <c r="E301" s="13" t="s">
        <v>25</v>
      </c>
      <c r="F301" s="14">
        <f t="shared" si="16"/>
        <v>164.09325633851103</v>
      </c>
      <c r="G301" s="13" t="s">
        <v>25</v>
      </c>
      <c r="H301" s="14">
        <f>164093.256338511/1000</f>
        <v>164.09325633851103</v>
      </c>
      <c r="I301" s="14">
        <f t="shared" si="17"/>
        <v>197.64601000000002</v>
      </c>
      <c r="J301" s="13" t="s">
        <v>25</v>
      </c>
      <c r="K301" s="19">
        <f>197646.01/1000</f>
        <v>197.64601000000002</v>
      </c>
    </row>
    <row r="302" spans="1:11" s="3" customFormat="1" ht="30" customHeight="1" x14ac:dyDescent="0.25">
      <c r="A302" s="1"/>
      <c r="B302" s="158"/>
      <c r="C302" s="187" t="s">
        <v>41</v>
      </c>
      <c r="D302" s="176"/>
      <c r="E302" s="26" t="s">
        <v>25</v>
      </c>
      <c r="F302" s="14">
        <f t="shared" si="16"/>
        <v>216.167719728804</v>
      </c>
      <c r="G302" s="13" t="s">
        <v>25</v>
      </c>
      <c r="H302" s="14">
        <f>216167.719728804/1000</f>
        <v>216.167719728804</v>
      </c>
      <c r="I302" s="14">
        <f t="shared" si="17"/>
        <v>213.09222</v>
      </c>
      <c r="J302" s="13" t="s">
        <v>25</v>
      </c>
      <c r="K302" s="19">
        <f>213092.22/1000</f>
        <v>213.09222</v>
      </c>
    </row>
    <row r="303" spans="1:11" s="3" customFormat="1" ht="30" customHeight="1" x14ac:dyDescent="0.25">
      <c r="A303" s="1"/>
      <c r="B303" s="158"/>
      <c r="C303" s="187" t="s">
        <v>42</v>
      </c>
      <c r="D303" s="176"/>
      <c r="E303" s="26" t="s">
        <v>25</v>
      </c>
      <c r="F303" s="62">
        <f t="shared" si="16"/>
        <v>191.81648926286502</v>
      </c>
      <c r="G303" s="26" t="s">
        <v>25</v>
      </c>
      <c r="H303" s="62">
        <f>191816.489262865/1000</f>
        <v>191.81648926286502</v>
      </c>
      <c r="I303" s="62">
        <f>K303</f>
        <v>194.12916000000001</v>
      </c>
      <c r="J303" s="26" t="s">
        <v>25</v>
      </c>
      <c r="K303" s="18">
        <f>194129.16/1000</f>
        <v>194.12916000000001</v>
      </c>
    </row>
    <row r="304" spans="1:11" s="3" customFormat="1" ht="31.5" customHeight="1" x14ac:dyDescent="0.25">
      <c r="A304" s="1"/>
      <c r="B304" s="158"/>
      <c r="C304" s="187" t="s">
        <v>43</v>
      </c>
      <c r="D304" s="176"/>
      <c r="E304" s="26" t="s">
        <v>25</v>
      </c>
      <c r="F304" s="62">
        <f t="shared" si="16"/>
        <v>191.497466267037</v>
      </c>
      <c r="G304" s="26" t="s">
        <v>25</v>
      </c>
      <c r="H304" s="62">
        <f>191497.466267037/1000</f>
        <v>191.497466267037</v>
      </c>
      <c r="I304" s="62">
        <f t="shared" si="17"/>
        <v>185.36707000000001</v>
      </c>
      <c r="J304" s="26" t="s">
        <v>25</v>
      </c>
      <c r="K304" s="18">
        <f>185367.07/1000</f>
        <v>185.36707000000001</v>
      </c>
    </row>
    <row r="305" spans="1:11" s="3" customFormat="1" ht="31.5" customHeight="1" x14ac:dyDescent="0.25">
      <c r="A305" s="1"/>
      <c r="B305" s="158"/>
      <c r="C305" s="187" t="s">
        <v>44</v>
      </c>
      <c r="D305" s="176"/>
      <c r="E305" s="26" t="s">
        <v>25</v>
      </c>
      <c r="F305" s="62">
        <f t="shared" si="16"/>
        <v>193.21220421531498</v>
      </c>
      <c r="G305" s="26" t="s">
        <v>25</v>
      </c>
      <c r="H305" s="62">
        <f>193212.204215315/1000</f>
        <v>193.21220421531498</v>
      </c>
      <c r="I305" s="62">
        <f t="shared" si="17"/>
        <v>226.22585999999998</v>
      </c>
      <c r="J305" s="26" t="s">
        <v>25</v>
      </c>
      <c r="K305" s="18">
        <f>226225.86/1000</f>
        <v>226.22585999999998</v>
      </c>
    </row>
    <row r="306" spans="1:11" s="3" customFormat="1" ht="31.5" customHeight="1" x14ac:dyDescent="0.25">
      <c r="A306" s="1"/>
      <c r="B306" s="158"/>
      <c r="C306" s="178" t="s">
        <v>45</v>
      </c>
      <c r="D306" s="179"/>
      <c r="E306" s="13" t="s">
        <v>25</v>
      </c>
      <c r="F306" s="14">
        <f t="shared" si="16"/>
        <v>218.54530841257099</v>
      </c>
      <c r="G306" s="13" t="s">
        <v>25</v>
      </c>
      <c r="H306" s="14">
        <f>218545.308412571/1000</f>
        <v>218.54530841257099</v>
      </c>
      <c r="I306" s="14">
        <f t="shared" si="17"/>
        <v>172.12935999999999</v>
      </c>
      <c r="J306" s="13" t="s">
        <v>25</v>
      </c>
      <c r="K306" s="19">
        <f>172129.36/1000</f>
        <v>172.12935999999999</v>
      </c>
    </row>
    <row r="307" spans="1:11" s="3" customFormat="1" ht="32.25" customHeight="1" x14ac:dyDescent="0.25">
      <c r="A307" s="1"/>
      <c r="B307" s="158"/>
      <c r="C307" s="178" t="s">
        <v>40</v>
      </c>
      <c r="D307" s="179"/>
      <c r="E307" s="13" t="s">
        <v>25</v>
      </c>
      <c r="F307" s="14">
        <f t="shared" si="16"/>
        <v>-164.09325633851103</v>
      </c>
      <c r="G307" s="13" t="s">
        <v>25</v>
      </c>
      <c r="H307" s="29">
        <f>-164093.256338511/1000</f>
        <v>-164.09325633851103</v>
      </c>
      <c r="I307" s="14">
        <f t="shared" si="17"/>
        <v>-197.64601000000002</v>
      </c>
      <c r="J307" s="13" t="s">
        <v>25</v>
      </c>
      <c r="K307" s="30">
        <f>-197646.01/1000</f>
        <v>-197.64601000000002</v>
      </c>
    </row>
    <row r="308" spans="1:11" s="3" customFormat="1" ht="30" customHeight="1" x14ac:dyDescent="0.25">
      <c r="A308" s="1"/>
      <c r="B308" s="158"/>
      <c r="C308" s="187" t="s">
        <v>41</v>
      </c>
      <c r="D308" s="176"/>
      <c r="E308" s="26" t="s">
        <v>25</v>
      </c>
      <c r="F308" s="14">
        <f t="shared" si="16"/>
        <v>-216.167719728804</v>
      </c>
      <c r="G308" s="13" t="s">
        <v>25</v>
      </c>
      <c r="H308" s="29">
        <f>-216167.719728804/1000</f>
        <v>-216.167719728804</v>
      </c>
      <c r="I308" s="14">
        <f t="shared" si="17"/>
        <v>-213.09222</v>
      </c>
      <c r="J308" s="13" t="s">
        <v>25</v>
      </c>
      <c r="K308" s="30">
        <f>-213092.22/1000</f>
        <v>-213.09222</v>
      </c>
    </row>
    <row r="309" spans="1:11" s="3" customFormat="1" ht="30" customHeight="1" x14ac:dyDescent="0.25">
      <c r="A309" s="1"/>
      <c r="B309" s="158"/>
      <c r="C309" s="187" t="s">
        <v>42</v>
      </c>
      <c r="D309" s="176"/>
      <c r="E309" s="26" t="s">
        <v>25</v>
      </c>
      <c r="F309" s="62">
        <f t="shared" si="16"/>
        <v>-191.81648926286502</v>
      </c>
      <c r="G309" s="26" t="s">
        <v>25</v>
      </c>
      <c r="H309" s="63">
        <f>-191816.489262865/1000</f>
        <v>-191.81648926286502</v>
      </c>
      <c r="I309" s="62">
        <f>K309</f>
        <v>-194.12916000000001</v>
      </c>
      <c r="J309" s="26" t="s">
        <v>25</v>
      </c>
      <c r="K309" s="105">
        <f>-194129.16/1000</f>
        <v>-194.12916000000001</v>
      </c>
    </row>
    <row r="310" spans="1:11" s="3" customFormat="1" ht="31.5" customHeight="1" x14ac:dyDescent="0.25">
      <c r="A310" s="1"/>
      <c r="B310" s="158"/>
      <c r="C310" s="187" t="s">
        <v>43</v>
      </c>
      <c r="D310" s="176"/>
      <c r="E310" s="26" t="s">
        <v>25</v>
      </c>
      <c r="F310" s="62">
        <f t="shared" si="16"/>
        <v>-191.497466267037</v>
      </c>
      <c r="G310" s="26" t="s">
        <v>25</v>
      </c>
      <c r="H310" s="63">
        <f>-191497.466267037/1000</f>
        <v>-191.497466267037</v>
      </c>
      <c r="I310" s="62">
        <f>K310</f>
        <v>-185.36707000000001</v>
      </c>
      <c r="J310" s="26" t="s">
        <v>25</v>
      </c>
      <c r="K310" s="105">
        <f>-185367.07/1000</f>
        <v>-185.36707000000001</v>
      </c>
    </row>
    <row r="311" spans="1:11" s="3" customFormat="1" ht="31.5" customHeight="1" x14ac:dyDescent="0.25">
      <c r="A311" s="1"/>
      <c r="B311" s="158"/>
      <c r="C311" s="187" t="s">
        <v>44</v>
      </c>
      <c r="D311" s="176"/>
      <c r="E311" s="26" t="s">
        <v>25</v>
      </c>
      <c r="F311" s="62">
        <f t="shared" si="16"/>
        <v>-193.21220421531498</v>
      </c>
      <c r="G311" s="26" t="s">
        <v>25</v>
      </c>
      <c r="H311" s="63">
        <f>-193212.204215315/1000</f>
        <v>-193.21220421531498</v>
      </c>
      <c r="I311" s="62">
        <f>K311</f>
        <v>-226.22585999999998</v>
      </c>
      <c r="J311" s="26" t="s">
        <v>25</v>
      </c>
      <c r="K311" s="105">
        <f>-226225.86/1000</f>
        <v>-226.22585999999998</v>
      </c>
    </row>
    <row r="312" spans="1:11" s="3" customFormat="1" ht="31.5" customHeight="1" thickBot="1" x14ac:dyDescent="0.3">
      <c r="A312" s="1"/>
      <c r="B312" s="158"/>
      <c r="C312" s="187" t="s">
        <v>45</v>
      </c>
      <c r="D312" s="176"/>
      <c r="E312" s="26" t="s">
        <v>25</v>
      </c>
      <c r="F312" s="62">
        <f t="shared" si="16"/>
        <v>-218.54530841257099</v>
      </c>
      <c r="G312" s="26" t="s">
        <v>25</v>
      </c>
      <c r="H312" s="63">
        <f>-218545.308412571/1000</f>
        <v>-218.54530841257099</v>
      </c>
      <c r="I312" s="62">
        <f>K312</f>
        <v>-172.12935999999999</v>
      </c>
      <c r="J312" s="26" t="s">
        <v>25</v>
      </c>
      <c r="K312" s="105">
        <f>-172129.36/1000</f>
        <v>-172.12935999999999</v>
      </c>
    </row>
    <row r="313" spans="1:11" s="3" customFormat="1" ht="30.75" customHeight="1" x14ac:dyDescent="0.25">
      <c r="A313" s="1"/>
      <c r="B313" s="156" t="s">
        <v>285</v>
      </c>
      <c r="C313" s="35" t="s">
        <v>21</v>
      </c>
      <c r="D313" s="60" t="s">
        <v>22</v>
      </c>
      <c r="E313" s="36" t="s">
        <v>23</v>
      </c>
      <c r="F313" s="36">
        <f t="shared" si="16"/>
        <v>500</v>
      </c>
      <c r="G313" s="36" t="s">
        <v>286</v>
      </c>
      <c r="H313" s="36">
        <f>500000/1000</f>
        <v>500</v>
      </c>
      <c r="I313" s="53" t="str">
        <f t="shared" si="17"/>
        <v>__</v>
      </c>
      <c r="J313" s="36" t="s">
        <v>25</v>
      </c>
      <c r="K313" s="37" t="s">
        <v>25</v>
      </c>
    </row>
    <row r="314" spans="1:11" s="3" customFormat="1" ht="63" customHeight="1" x14ac:dyDescent="0.25">
      <c r="A314" s="1"/>
      <c r="B314" s="158"/>
      <c r="C314" s="15" t="s">
        <v>33</v>
      </c>
      <c r="D314" s="15" t="s">
        <v>25</v>
      </c>
      <c r="E314" s="16" t="s">
        <v>25</v>
      </c>
      <c r="F314" s="16">
        <f t="shared" si="16"/>
        <v>22.472999999999999</v>
      </c>
      <c r="G314" s="14" t="s">
        <v>287</v>
      </c>
      <c r="H314" s="14">
        <f>22473/1000</f>
        <v>22.472999999999999</v>
      </c>
      <c r="I314" s="16">
        <f t="shared" si="17"/>
        <v>22.473099999999999</v>
      </c>
      <c r="J314" s="21" t="s">
        <v>288</v>
      </c>
      <c r="K314" s="22">
        <v>22.473099999999999</v>
      </c>
    </row>
    <row r="315" spans="1:11" s="3" customFormat="1" ht="45.75" customHeight="1" x14ac:dyDescent="0.25">
      <c r="A315" s="1"/>
      <c r="B315" s="158"/>
      <c r="C315" s="13" t="s">
        <v>26</v>
      </c>
      <c r="D315" s="106" t="s">
        <v>27</v>
      </c>
      <c r="E315" s="14" t="s">
        <v>25</v>
      </c>
      <c r="F315" s="14">
        <f t="shared" si="16"/>
        <v>6433.7478541999999</v>
      </c>
      <c r="G315" s="14" t="s">
        <v>289</v>
      </c>
      <c r="H315" s="14">
        <f>6433747.8542/1000</f>
        <v>6433.7478541999999</v>
      </c>
      <c r="I315" s="14">
        <f>K315</f>
        <v>6433.7478499999997</v>
      </c>
      <c r="J315" s="14" t="s">
        <v>290</v>
      </c>
      <c r="K315" s="19">
        <f>6433747.85/1000</f>
        <v>6433.7478499999997</v>
      </c>
    </row>
    <row r="316" spans="1:11" s="3" customFormat="1" ht="30.75" customHeight="1" x14ac:dyDescent="0.25">
      <c r="A316" s="1"/>
      <c r="B316" s="158"/>
      <c r="C316" s="13" t="s">
        <v>209</v>
      </c>
      <c r="D316" s="13" t="s">
        <v>291</v>
      </c>
      <c r="E316" s="16">
        <v>9009.348</v>
      </c>
      <c r="F316" s="16">
        <f>SUM(H316)</f>
        <v>0</v>
      </c>
      <c r="G316" s="16"/>
      <c r="H316" s="16"/>
      <c r="I316" s="16">
        <f>SUM(K316)</f>
        <v>7601.7510183999993</v>
      </c>
      <c r="J316" s="16" t="s">
        <v>292</v>
      </c>
      <c r="K316" s="22">
        <v>7601.7510183999993</v>
      </c>
    </row>
    <row r="317" spans="1:11" s="3" customFormat="1" ht="30" customHeight="1" x14ac:dyDescent="0.25">
      <c r="A317" s="1"/>
      <c r="B317" s="158"/>
      <c r="C317" s="163" t="s">
        <v>40</v>
      </c>
      <c r="D317" s="162"/>
      <c r="E317" s="15" t="s">
        <v>25</v>
      </c>
      <c r="F317" s="16">
        <f>H317</f>
        <v>29.064313975861602</v>
      </c>
      <c r="G317" s="15" t="s">
        <v>25</v>
      </c>
      <c r="H317" s="16">
        <f>29064.3139758616/1000</f>
        <v>29.064313975861602</v>
      </c>
      <c r="I317" s="25">
        <f t="shared" si="17"/>
        <v>112.29562</v>
      </c>
      <c r="J317" s="15" t="s">
        <v>25</v>
      </c>
      <c r="K317" s="41">
        <f>112295.62/1000</f>
        <v>112.29562</v>
      </c>
    </row>
    <row r="318" spans="1:11" s="3" customFormat="1" ht="29.25" customHeight="1" x14ac:dyDescent="0.25">
      <c r="A318" s="1"/>
      <c r="B318" s="158"/>
      <c r="C318" s="160" t="s">
        <v>41</v>
      </c>
      <c r="D318" s="160"/>
      <c r="E318" s="15" t="s">
        <v>25</v>
      </c>
      <c r="F318" s="16">
        <f>H318</f>
        <v>109.727895345752</v>
      </c>
      <c r="G318" s="15" t="s">
        <v>25</v>
      </c>
      <c r="H318" s="16">
        <f>109727.895345752/1000</f>
        <v>109.727895345752</v>
      </c>
      <c r="I318" s="25">
        <f t="shared" si="17"/>
        <v>82.091610000000003</v>
      </c>
      <c r="J318" s="15" t="s">
        <v>25</v>
      </c>
      <c r="K318" s="41">
        <f>82091.61/1000</f>
        <v>82.091610000000003</v>
      </c>
    </row>
    <row r="319" spans="1:11" s="3" customFormat="1" ht="32.25" customHeight="1" x14ac:dyDescent="0.25">
      <c r="A319" s="1"/>
      <c r="B319" s="158"/>
      <c r="C319" s="178" t="s">
        <v>42</v>
      </c>
      <c r="D319" s="179"/>
      <c r="E319" s="13" t="s">
        <v>25</v>
      </c>
      <c r="F319" s="14">
        <f>H319</f>
        <v>81.497852443932103</v>
      </c>
      <c r="G319" s="13" t="s">
        <v>25</v>
      </c>
      <c r="H319" s="14">
        <f>81497.8524439321/1000</f>
        <v>81.497852443932103</v>
      </c>
      <c r="I319" s="23">
        <f t="shared" si="17"/>
        <v>101.69999</v>
      </c>
      <c r="J319" s="13" t="s">
        <v>25</v>
      </c>
      <c r="K319" s="39">
        <f>101699.99/1000</f>
        <v>101.69999</v>
      </c>
    </row>
    <row r="320" spans="1:11" s="3" customFormat="1" ht="32.25" customHeight="1" x14ac:dyDescent="0.25">
      <c r="A320" s="1"/>
      <c r="B320" s="158"/>
      <c r="C320" s="163" t="s">
        <v>43</v>
      </c>
      <c r="D320" s="162"/>
      <c r="E320" s="15" t="s">
        <v>25</v>
      </c>
      <c r="F320" s="16">
        <f t="shared" ref="F320:F339" si="19">H320</f>
        <v>100.813579940238</v>
      </c>
      <c r="G320" s="16" t="s">
        <v>25</v>
      </c>
      <c r="H320" s="16">
        <f>100813.579940238/1000</f>
        <v>100.813579940238</v>
      </c>
      <c r="I320" s="25">
        <f t="shared" si="17"/>
        <v>107.11291</v>
      </c>
      <c r="J320" s="15" t="s">
        <v>25</v>
      </c>
      <c r="K320" s="41">
        <f>107112.91/1000</f>
        <v>107.11291</v>
      </c>
    </row>
    <row r="321" spans="1:11" s="3" customFormat="1" ht="31.5" customHeight="1" x14ac:dyDescent="0.25">
      <c r="A321" s="1"/>
      <c r="B321" s="158"/>
      <c r="C321" s="160" t="s">
        <v>44</v>
      </c>
      <c r="D321" s="160"/>
      <c r="E321" s="15" t="s">
        <v>25</v>
      </c>
      <c r="F321" s="16">
        <f t="shared" si="19"/>
        <v>105.362843865025</v>
      </c>
      <c r="G321" s="15" t="s">
        <v>25</v>
      </c>
      <c r="H321" s="16">
        <f>105362.843865025/1000</f>
        <v>105.362843865025</v>
      </c>
      <c r="I321" s="25">
        <f t="shared" si="17"/>
        <v>101.25869999999999</v>
      </c>
      <c r="J321" s="15" t="s">
        <v>25</v>
      </c>
      <c r="K321" s="41">
        <f>101258.7/1000</f>
        <v>101.25869999999999</v>
      </c>
    </row>
    <row r="322" spans="1:11" s="3" customFormat="1" ht="30" customHeight="1" x14ac:dyDescent="0.25">
      <c r="A322" s="1"/>
      <c r="B322" s="158"/>
      <c r="C322" s="178" t="s">
        <v>45</v>
      </c>
      <c r="D322" s="179"/>
      <c r="E322" s="13" t="s">
        <v>25</v>
      </c>
      <c r="F322" s="14">
        <f t="shared" si="19"/>
        <v>102.694207230535</v>
      </c>
      <c r="G322" s="13" t="s">
        <v>25</v>
      </c>
      <c r="H322" s="14">
        <f>102694.207230535/1000</f>
        <v>102.694207230535</v>
      </c>
      <c r="I322" s="23">
        <f t="shared" si="17"/>
        <v>79.847610000000003</v>
      </c>
      <c r="J322" s="13" t="s">
        <v>25</v>
      </c>
      <c r="K322" s="39">
        <f>79847.61/1000</f>
        <v>79.847610000000003</v>
      </c>
    </row>
    <row r="323" spans="1:11" s="3" customFormat="1" ht="30" customHeight="1" x14ac:dyDescent="0.25">
      <c r="A323" s="1"/>
      <c r="B323" s="158"/>
      <c r="C323" s="163" t="s">
        <v>40</v>
      </c>
      <c r="D323" s="162"/>
      <c r="E323" s="15" t="s">
        <v>25</v>
      </c>
      <c r="F323" s="16">
        <f t="shared" si="19"/>
        <v>-29.064313975861602</v>
      </c>
      <c r="G323" s="15" t="s">
        <v>25</v>
      </c>
      <c r="H323" s="27">
        <f>-29064.3139758616/1000</f>
        <v>-29.064313975861602</v>
      </c>
      <c r="I323" s="25">
        <f t="shared" si="17"/>
        <v>-112.29562</v>
      </c>
      <c r="J323" s="15" t="s">
        <v>25</v>
      </c>
      <c r="K323" s="107">
        <f>-112295.62/1000</f>
        <v>-112.29562</v>
      </c>
    </row>
    <row r="324" spans="1:11" s="3" customFormat="1" ht="29.25" customHeight="1" x14ac:dyDescent="0.25">
      <c r="A324" s="1"/>
      <c r="B324" s="158"/>
      <c r="C324" s="160" t="s">
        <v>41</v>
      </c>
      <c r="D324" s="160"/>
      <c r="E324" s="15" t="s">
        <v>25</v>
      </c>
      <c r="F324" s="16">
        <f t="shared" si="19"/>
        <v>-109.727895345752</v>
      </c>
      <c r="G324" s="15" t="s">
        <v>25</v>
      </c>
      <c r="H324" s="27">
        <f>-109727.895345752/1000</f>
        <v>-109.727895345752</v>
      </c>
      <c r="I324" s="25">
        <f t="shared" si="17"/>
        <v>-82.091610000000003</v>
      </c>
      <c r="J324" s="15" t="s">
        <v>25</v>
      </c>
      <c r="K324" s="107">
        <f>-82091.61/1000</f>
        <v>-82.091610000000003</v>
      </c>
    </row>
    <row r="325" spans="1:11" s="3" customFormat="1" ht="32.25" customHeight="1" x14ac:dyDescent="0.25">
      <c r="A325" s="1"/>
      <c r="B325" s="158"/>
      <c r="C325" s="178" t="s">
        <v>42</v>
      </c>
      <c r="D325" s="179"/>
      <c r="E325" s="13" t="s">
        <v>25</v>
      </c>
      <c r="F325" s="14">
        <f t="shared" si="19"/>
        <v>-81.497852443932103</v>
      </c>
      <c r="G325" s="13" t="s">
        <v>25</v>
      </c>
      <c r="H325" s="29">
        <f>-81497.8524439321/1000</f>
        <v>-81.497852443932103</v>
      </c>
      <c r="I325" s="23">
        <f t="shared" si="17"/>
        <v>-101.69999</v>
      </c>
      <c r="J325" s="13" t="s">
        <v>25</v>
      </c>
      <c r="K325" s="59">
        <f>-101699.99/1000</f>
        <v>-101.69999</v>
      </c>
    </row>
    <row r="326" spans="1:11" s="3" customFormat="1" ht="32.25" customHeight="1" x14ac:dyDescent="0.25">
      <c r="A326" s="1"/>
      <c r="B326" s="158"/>
      <c r="C326" s="163" t="s">
        <v>43</v>
      </c>
      <c r="D326" s="162"/>
      <c r="E326" s="15" t="s">
        <v>25</v>
      </c>
      <c r="F326" s="16">
        <f t="shared" si="19"/>
        <v>-100.813579940238</v>
      </c>
      <c r="G326" s="16" t="s">
        <v>25</v>
      </c>
      <c r="H326" s="27">
        <f>-100813.579940238/1000</f>
        <v>-100.813579940238</v>
      </c>
      <c r="I326" s="25">
        <f t="shared" si="17"/>
        <v>-107.11291</v>
      </c>
      <c r="J326" s="15" t="s">
        <v>25</v>
      </c>
      <c r="K326" s="107">
        <f>-107112.91/1000</f>
        <v>-107.11291</v>
      </c>
    </row>
    <row r="327" spans="1:11" s="3" customFormat="1" ht="31.5" customHeight="1" x14ac:dyDescent="0.25">
      <c r="A327" s="1"/>
      <c r="B327" s="158"/>
      <c r="C327" s="160" t="s">
        <v>44</v>
      </c>
      <c r="D327" s="160"/>
      <c r="E327" s="15" t="s">
        <v>25</v>
      </c>
      <c r="F327" s="16">
        <f t="shared" si="19"/>
        <v>-105.362843865025</v>
      </c>
      <c r="G327" s="15" t="s">
        <v>25</v>
      </c>
      <c r="H327" s="27">
        <f>-105362.843865025/1000</f>
        <v>-105.362843865025</v>
      </c>
      <c r="I327" s="25">
        <f t="shared" si="17"/>
        <v>-101.25869999999999</v>
      </c>
      <c r="J327" s="15" t="s">
        <v>25</v>
      </c>
      <c r="K327" s="107">
        <f>-101258.7/1000</f>
        <v>-101.25869999999999</v>
      </c>
    </row>
    <row r="328" spans="1:11" s="3" customFormat="1" ht="30" customHeight="1" thickBot="1" x14ac:dyDescent="0.3">
      <c r="A328" s="1"/>
      <c r="B328" s="157"/>
      <c r="C328" s="191" t="s">
        <v>45</v>
      </c>
      <c r="D328" s="192"/>
      <c r="E328" s="66" t="s">
        <v>25</v>
      </c>
      <c r="F328" s="52">
        <f t="shared" si="19"/>
        <v>-102.694207230535</v>
      </c>
      <c r="G328" s="66" t="s">
        <v>25</v>
      </c>
      <c r="H328" s="67">
        <f>-102694.207230535/1000</f>
        <v>-102.694207230535</v>
      </c>
      <c r="I328" s="68">
        <f t="shared" si="17"/>
        <v>-79.847610000000003</v>
      </c>
      <c r="J328" s="66" t="s">
        <v>25</v>
      </c>
      <c r="K328" s="69">
        <f>-79847.61/1000</f>
        <v>-79.847610000000003</v>
      </c>
    </row>
    <row r="329" spans="1:11" s="3" customFormat="1" ht="73.5" customHeight="1" x14ac:dyDescent="0.25">
      <c r="A329" s="1"/>
      <c r="B329" s="156" t="s">
        <v>293</v>
      </c>
      <c r="C329" s="193" t="s">
        <v>294</v>
      </c>
      <c r="D329" s="194"/>
      <c r="E329" s="58" t="s">
        <v>25</v>
      </c>
      <c r="F329" s="36">
        <f t="shared" si="19"/>
        <v>5.0861400000000003</v>
      </c>
      <c r="G329" s="36" t="s">
        <v>25</v>
      </c>
      <c r="H329" s="36">
        <f>K329</f>
        <v>5.0861400000000003</v>
      </c>
      <c r="I329" s="36">
        <f t="shared" si="17"/>
        <v>5.0861400000000003</v>
      </c>
      <c r="J329" s="36" t="s">
        <v>25</v>
      </c>
      <c r="K329" s="37">
        <f>5086.14/1000</f>
        <v>5.0861400000000003</v>
      </c>
    </row>
    <row r="330" spans="1:11" s="3" customFormat="1" ht="58.5" customHeight="1" x14ac:dyDescent="0.25">
      <c r="A330" s="1"/>
      <c r="B330" s="158"/>
      <c r="C330" s="178" t="s">
        <v>295</v>
      </c>
      <c r="D330" s="179"/>
      <c r="E330" s="79" t="s">
        <v>25</v>
      </c>
      <c r="F330" s="16" t="str">
        <f t="shared" si="19"/>
        <v>__</v>
      </c>
      <c r="G330" s="16" t="s">
        <v>25</v>
      </c>
      <c r="H330" s="16" t="s">
        <v>25</v>
      </c>
      <c r="I330" s="16">
        <f t="shared" si="17"/>
        <v>345</v>
      </c>
      <c r="J330" s="16" t="s">
        <v>25</v>
      </c>
      <c r="K330" s="108">
        <f>345000/1000</f>
        <v>345</v>
      </c>
    </row>
    <row r="331" spans="1:11" s="3" customFormat="1" ht="58.5" customHeight="1" x14ac:dyDescent="0.25">
      <c r="A331" s="1"/>
      <c r="B331" s="158"/>
      <c r="C331" s="178" t="s">
        <v>296</v>
      </c>
      <c r="D331" s="179"/>
      <c r="E331" s="79" t="s">
        <v>25</v>
      </c>
      <c r="F331" s="16" t="str">
        <f t="shared" si="19"/>
        <v>__</v>
      </c>
      <c r="G331" s="16" t="s">
        <v>25</v>
      </c>
      <c r="H331" s="16" t="s">
        <v>25</v>
      </c>
      <c r="I331" s="16">
        <f t="shared" si="17"/>
        <v>69.000004400000009</v>
      </c>
      <c r="J331" s="16" t="s">
        <v>25</v>
      </c>
      <c r="K331" s="108">
        <f>69000.0044/1000</f>
        <v>69.000004400000009</v>
      </c>
    </row>
    <row r="332" spans="1:11" s="3" customFormat="1" ht="58.5" customHeight="1" x14ac:dyDescent="0.25">
      <c r="A332" s="1"/>
      <c r="B332" s="158"/>
      <c r="C332" s="178" t="s">
        <v>297</v>
      </c>
      <c r="D332" s="179"/>
      <c r="E332" s="79" t="s">
        <v>25</v>
      </c>
      <c r="F332" s="16" t="str">
        <f t="shared" si="19"/>
        <v>__</v>
      </c>
      <c r="G332" s="16" t="s">
        <v>25</v>
      </c>
      <c r="H332" s="16" t="s">
        <v>25</v>
      </c>
      <c r="I332" s="16">
        <f t="shared" si="17"/>
        <v>69.000004400000009</v>
      </c>
      <c r="J332" s="16" t="s">
        <v>25</v>
      </c>
      <c r="K332" s="108">
        <f>69000.0044/1000</f>
        <v>69.000004400000009</v>
      </c>
    </row>
    <row r="333" spans="1:11" s="3" customFormat="1" ht="58.5" customHeight="1" x14ac:dyDescent="0.25">
      <c r="A333" s="1"/>
      <c r="B333" s="158"/>
      <c r="C333" s="178" t="s">
        <v>298</v>
      </c>
      <c r="D333" s="179"/>
      <c r="E333" s="79" t="s">
        <v>25</v>
      </c>
      <c r="F333" s="16" t="str">
        <f t="shared" si="19"/>
        <v>__</v>
      </c>
      <c r="G333" s="16" t="s">
        <v>25</v>
      </c>
      <c r="H333" s="16" t="s">
        <v>25</v>
      </c>
      <c r="I333" s="16">
        <f t="shared" si="17"/>
        <v>138</v>
      </c>
      <c r="J333" s="16" t="s">
        <v>25</v>
      </c>
      <c r="K333" s="108">
        <f>138000/1000</f>
        <v>138</v>
      </c>
    </row>
    <row r="334" spans="1:11" s="3" customFormat="1" ht="58.5" customHeight="1" x14ac:dyDescent="0.25">
      <c r="A334" s="1"/>
      <c r="B334" s="158"/>
      <c r="C334" s="178" t="s">
        <v>299</v>
      </c>
      <c r="D334" s="179"/>
      <c r="E334" s="79" t="s">
        <v>25</v>
      </c>
      <c r="F334" s="16" t="str">
        <f t="shared" si="19"/>
        <v>__</v>
      </c>
      <c r="G334" s="16" t="s">
        <v>25</v>
      </c>
      <c r="H334" s="16" t="s">
        <v>25</v>
      </c>
      <c r="I334" s="16">
        <f t="shared" si="17"/>
        <v>207</v>
      </c>
      <c r="J334" s="16" t="s">
        <v>25</v>
      </c>
      <c r="K334" s="108">
        <f>207000/1000</f>
        <v>207</v>
      </c>
    </row>
    <row r="335" spans="1:11" s="3" customFormat="1" ht="58.5" customHeight="1" x14ac:dyDescent="0.25">
      <c r="A335" s="1"/>
      <c r="B335" s="158"/>
      <c r="C335" s="178" t="s">
        <v>300</v>
      </c>
      <c r="D335" s="179"/>
      <c r="E335" s="79"/>
      <c r="F335" s="16">
        <f t="shared" si="19"/>
        <v>1.01722</v>
      </c>
      <c r="G335" s="16"/>
      <c r="H335" s="16">
        <f>K335</f>
        <v>1.01722</v>
      </c>
      <c r="I335" s="16">
        <f t="shared" si="17"/>
        <v>1.01722</v>
      </c>
      <c r="J335" s="16" t="s">
        <v>25</v>
      </c>
      <c r="K335" s="108">
        <f>1017.22/1000</f>
        <v>1.01722</v>
      </c>
    </row>
    <row r="336" spans="1:11" s="3" customFormat="1" ht="58.5" customHeight="1" x14ac:dyDescent="0.25">
      <c r="A336" s="1"/>
      <c r="B336" s="158"/>
      <c r="C336" s="178" t="s">
        <v>301</v>
      </c>
      <c r="D336" s="179"/>
      <c r="E336" s="79"/>
      <c r="F336" s="16">
        <f t="shared" si="19"/>
        <v>1.01722</v>
      </c>
      <c r="G336" s="16"/>
      <c r="H336" s="16">
        <f>K336</f>
        <v>1.01722</v>
      </c>
      <c r="I336" s="16">
        <f t="shared" si="17"/>
        <v>1.01722</v>
      </c>
      <c r="J336" s="16" t="s">
        <v>25</v>
      </c>
      <c r="K336" s="108">
        <f>1017.22/1000</f>
        <v>1.01722</v>
      </c>
    </row>
    <row r="337" spans="1:11" s="3" customFormat="1" ht="58.5" customHeight="1" x14ac:dyDescent="0.25">
      <c r="A337" s="1"/>
      <c r="B337" s="158"/>
      <c r="C337" s="178" t="s">
        <v>302</v>
      </c>
      <c r="D337" s="179"/>
      <c r="E337" s="79"/>
      <c r="F337" s="16">
        <f t="shared" si="19"/>
        <v>20.46744</v>
      </c>
      <c r="G337" s="16"/>
      <c r="H337" s="16">
        <f>K337</f>
        <v>20.46744</v>
      </c>
      <c r="I337" s="16">
        <f t="shared" si="17"/>
        <v>20.46744</v>
      </c>
      <c r="J337" s="16" t="s">
        <v>25</v>
      </c>
      <c r="K337" s="108">
        <f>20467.44/1000</f>
        <v>20.46744</v>
      </c>
    </row>
    <row r="338" spans="1:11" s="3" customFormat="1" ht="58.5" customHeight="1" x14ac:dyDescent="0.25">
      <c r="A338" s="1"/>
      <c r="B338" s="158"/>
      <c r="C338" s="178" t="s">
        <v>303</v>
      </c>
      <c r="D338" s="179"/>
      <c r="E338" s="79"/>
      <c r="F338" s="16">
        <f t="shared" si="19"/>
        <v>30.701160000000002</v>
      </c>
      <c r="G338" s="16"/>
      <c r="H338" s="16">
        <f>K338</f>
        <v>30.701160000000002</v>
      </c>
      <c r="I338" s="16">
        <f t="shared" si="17"/>
        <v>30.701160000000002</v>
      </c>
      <c r="J338" s="16" t="s">
        <v>25</v>
      </c>
      <c r="K338" s="108">
        <f>30701.16/1000</f>
        <v>30.701160000000002</v>
      </c>
    </row>
    <row r="339" spans="1:11" s="3" customFormat="1" ht="58.5" customHeight="1" thickBot="1" x14ac:dyDescent="0.3">
      <c r="A339" s="1"/>
      <c r="B339" s="157"/>
      <c r="C339" s="66" t="s">
        <v>304</v>
      </c>
      <c r="D339" s="109" t="s">
        <v>305</v>
      </c>
      <c r="E339" s="72">
        <f>828000/1000</f>
        <v>828</v>
      </c>
      <c r="F339" s="44">
        <f t="shared" si="19"/>
        <v>828</v>
      </c>
      <c r="G339" s="44" t="s">
        <v>306</v>
      </c>
      <c r="H339" s="44">
        <v>828</v>
      </c>
      <c r="I339" s="44" t="str">
        <f t="shared" si="17"/>
        <v>__</v>
      </c>
      <c r="J339" s="44" t="s">
        <v>25</v>
      </c>
      <c r="K339" s="110" t="s">
        <v>25</v>
      </c>
    </row>
    <row r="340" spans="1:11" s="3" customFormat="1" ht="30" hidden="1" customHeight="1" x14ac:dyDescent="0.25">
      <c r="A340" s="1"/>
      <c r="B340" s="156" t="s">
        <v>307</v>
      </c>
      <c r="C340" s="11" t="s">
        <v>308</v>
      </c>
      <c r="D340" s="11" t="s">
        <v>309</v>
      </c>
      <c r="E340" s="12">
        <v>23253.236059999999</v>
      </c>
      <c r="F340" s="36">
        <f>H340</f>
        <v>0</v>
      </c>
      <c r="G340" s="36"/>
      <c r="H340" s="36"/>
      <c r="I340" s="36" t="s">
        <v>25</v>
      </c>
      <c r="J340" s="36"/>
      <c r="K340" s="37"/>
    </row>
    <row r="341" spans="1:11" s="3" customFormat="1" ht="30" x14ac:dyDescent="0.25">
      <c r="A341" s="1"/>
      <c r="B341" s="158"/>
      <c r="C341" s="175" t="s">
        <v>310</v>
      </c>
      <c r="D341" s="188" t="s">
        <v>311</v>
      </c>
      <c r="E341" s="166">
        <f>33884745.19/1000</f>
        <v>33884.745189999994</v>
      </c>
      <c r="F341" s="166">
        <f>SUM(H341:H366)</f>
        <v>33810.065259999996</v>
      </c>
      <c r="G341" s="14" t="s">
        <v>312</v>
      </c>
      <c r="H341" s="96">
        <f>33810065.26/1000</f>
        <v>33810.065259999996</v>
      </c>
      <c r="I341" s="166">
        <f>SUM(K341:K366)</f>
        <v>23802.652279999998</v>
      </c>
      <c r="J341" s="14" t="s">
        <v>313</v>
      </c>
      <c r="K341" s="19">
        <f>921215.13/1000</f>
        <v>921.21513000000004</v>
      </c>
    </row>
    <row r="342" spans="1:11" s="3" customFormat="1" ht="45" x14ac:dyDescent="0.25">
      <c r="A342" s="1"/>
      <c r="B342" s="158"/>
      <c r="C342" s="175"/>
      <c r="D342" s="189"/>
      <c r="E342" s="171"/>
      <c r="F342" s="171"/>
      <c r="G342" s="14" t="s">
        <v>25</v>
      </c>
      <c r="H342" s="14" t="s">
        <v>25</v>
      </c>
      <c r="I342" s="171"/>
      <c r="J342" s="16" t="s">
        <v>314</v>
      </c>
      <c r="K342" s="22">
        <f>439794.83/1000</f>
        <v>439.79482999999999</v>
      </c>
    </row>
    <row r="343" spans="1:11" s="3" customFormat="1" ht="45" x14ac:dyDescent="0.25">
      <c r="A343" s="1"/>
      <c r="B343" s="158"/>
      <c r="C343" s="175"/>
      <c r="D343" s="189"/>
      <c r="E343" s="171"/>
      <c r="F343" s="171"/>
      <c r="G343" s="14" t="s">
        <v>25</v>
      </c>
      <c r="H343" s="14" t="s">
        <v>25</v>
      </c>
      <c r="I343" s="171"/>
      <c r="J343" s="16" t="s">
        <v>315</v>
      </c>
      <c r="K343" s="22">
        <f>137961.28/1000</f>
        <v>137.96127999999999</v>
      </c>
    </row>
    <row r="344" spans="1:11" s="3" customFormat="1" ht="45" x14ac:dyDescent="0.25">
      <c r="A344" s="1"/>
      <c r="B344" s="158"/>
      <c r="C344" s="175"/>
      <c r="D344" s="189"/>
      <c r="E344" s="171"/>
      <c r="F344" s="171"/>
      <c r="G344" s="14" t="s">
        <v>25</v>
      </c>
      <c r="H344" s="14" t="s">
        <v>25</v>
      </c>
      <c r="I344" s="171"/>
      <c r="J344" s="16" t="s">
        <v>316</v>
      </c>
      <c r="K344" s="22">
        <f>5977042.97/1000</f>
        <v>5977.0429699999995</v>
      </c>
    </row>
    <row r="345" spans="1:11" s="3" customFormat="1" ht="45" x14ac:dyDescent="0.25">
      <c r="A345" s="1"/>
      <c r="B345" s="158"/>
      <c r="C345" s="175"/>
      <c r="D345" s="189"/>
      <c r="E345" s="171"/>
      <c r="F345" s="171"/>
      <c r="G345" s="14" t="s">
        <v>25</v>
      </c>
      <c r="H345" s="14" t="s">
        <v>25</v>
      </c>
      <c r="I345" s="171"/>
      <c r="J345" s="16" t="s">
        <v>317</v>
      </c>
      <c r="K345" s="22">
        <f>2442744.57/1000</f>
        <v>2442.7445699999998</v>
      </c>
    </row>
    <row r="346" spans="1:11" s="3" customFormat="1" ht="45" customHeight="1" x14ac:dyDescent="0.25">
      <c r="A346" s="1"/>
      <c r="B346" s="158"/>
      <c r="C346" s="175"/>
      <c r="D346" s="189"/>
      <c r="E346" s="171"/>
      <c r="F346" s="171"/>
      <c r="G346" s="14" t="s">
        <v>25</v>
      </c>
      <c r="H346" s="14" t="s">
        <v>25</v>
      </c>
      <c r="I346" s="171"/>
      <c r="J346" s="16" t="s">
        <v>318</v>
      </c>
      <c r="K346" s="22">
        <f>98541.13/1000</f>
        <v>98.54113000000001</v>
      </c>
    </row>
    <row r="347" spans="1:11" s="3" customFormat="1" ht="45" customHeight="1" x14ac:dyDescent="0.25">
      <c r="A347" s="1"/>
      <c r="B347" s="158"/>
      <c r="C347" s="175"/>
      <c r="D347" s="189"/>
      <c r="E347" s="171"/>
      <c r="F347" s="171"/>
      <c r="G347" s="14" t="s">
        <v>25</v>
      </c>
      <c r="H347" s="14" t="s">
        <v>25</v>
      </c>
      <c r="I347" s="171"/>
      <c r="J347" s="16" t="s">
        <v>319</v>
      </c>
      <c r="K347" s="22">
        <f>182238.94/1000</f>
        <v>182.23894000000001</v>
      </c>
    </row>
    <row r="348" spans="1:11" s="3" customFormat="1" ht="45" customHeight="1" x14ac:dyDescent="0.25">
      <c r="A348" s="1"/>
      <c r="B348" s="158"/>
      <c r="C348" s="175"/>
      <c r="D348" s="189"/>
      <c r="E348" s="171"/>
      <c r="F348" s="171"/>
      <c r="G348" s="14" t="s">
        <v>25</v>
      </c>
      <c r="H348" s="14" t="s">
        <v>25</v>
      </c>
      <c r="I348" s="171"/>
      <c r="J348" s="16" t="s">
        <v>320</v>
      </c>
      <c r="K348" s="22">
        <f>1137085.12/1000</f>
        <v>1137.0851200000002</v>
      </c>
    </row>
    <row r="349" spans="1:11" s="3" customFormat="1" ht="45" customHeight="1" x14ac:dyDescent="0.25">
      <c r="A349" s="1"/>
      <c r="B349" s="158"/>
      <c r="C349" s="175"/>
      <c r="D349" s="189"/>
      <c r="E349" s="171"/>
      <c r="F349" s="171"/>
      <c r="G349" s="14" t="s">
        <v>25</v>
      </c>
      <c r="H349" s="14" t="s">
        <v>25</v>
      </c>
      <c r="I349" s="171"/>
      <c r="J349" s="16" t="s">
        <v>321</v>
      </c>
      <c r="K349" s="22">
        <f>412490.31/1000</f>
        <v>412.49031000000002</v>
      </c>
    </row>
    <row r="350" spans="1:11" s="3" customFormat="1" ht="46.5" customHeight="1" x14ac:dyDescent="0.25">
      <c r="A350" s="1"/>
      <c r="B350" s="158"/>
      <c r="C350" s="175"/>
      <c r="D350" s="189"/>
      <c r="E350" s="171"/>
      <c r="F350" s="171"/>
      <c r="G350" s="14" t="s">
        <v>25</v>
      </c>
      <c r="H350" s="14" t="s">
        <v>25</v>
      </c>
      <c r="I350" s="171"/>
      <c r="J350" s="16" t="s">
        <v>322</v>
      </c>
      <c r="K350" s="22">
        <f>901561.57/1000</f>
        <v>901.56156999999996</v>
      </c>
    </row>
    <row r="351" spans="1:11" s="3" customFormat="1" ht="45" customHeight="1" x14ac:dyDescent="0.25">
      <c r="A351" s="1"/>
      <c r="B351" s="158"/>
      <c r="C351" s="175"/>
      <c r="D351" s="189"/>
      <c r="E351" s="171"/>
      <c r="F351" s="171"/>
      <c r="G351" s="14" t="s">
        <v>25</v>
      </c>
      <c r="H351" s="14" t="s">
        <v>25</v>
      </c>
      <c r="I351" s="171"/>
      <c r="J351" s="16" t="s">
        <v>323</v>
      </c>
      <c r="K351" s="22">
        <f>945771/1000</f>
        <v>945.77099999999996</v>
      </c>
    </row>
    <row r="352" spans="1:11" s="3" customFormat="1" ht="45" customHeight="1" x14ac:dyDescent="0.25">
      <c r="A352" s="1"/>
      <c r="B352" s="158"/>
      <c r="C352" s="175"/>
      <c r="D352" s="189"/>
      <c r="E352" s="171"/>
      <c r="F352" s="171"/>
      <c r="G352" s="14" t="s">
        <v>25</v>
      </c>
      <c r="H352" s="14" t="s">
        <v>25</v>
      </c>
      <c r="I352" s="171"/>
      <c r="J352" s="16" t="s">
        <v>324</v>
      </c>
      <c r="K352" s="22">
        <f>6718846.78/1000</f>
        <v>6718.8467799999999</v>
      </c>
    </row>
    <row r="353" spans="1:11" s="3" customFormat="1" ht="45" customHeight="1" x14ac:dyDescent="0.25">
      <c r="A353" s="1"/>
      <c r="B353" s="158"/>
      <c r="C353" s="175"/>
      <c r="D353" s="189"/>
      <c r="E353" s="171"/>
      <c r="F353" s="171"/>
      <c r="G353" s="14" t="s">
        <v>25</v>
      </c>
      <c r="H353" s="14" t="s">
        <v>25</v>
      </c>
      <c r="I353" s="171"/>
      <c r="J353" s="16" t="s">
        <v>325</v>
      </c>
      <c r="K353" s="22">
        <f>477335.85/1000</f>
        <v>477.33584999999999</v>
      </c>
    </row>
    <row r="354" spans="1:11" s="3" customFormat="1" ht="45" customHeight="1" x14ac:dyDescent="0.25">
      <c r="A354" s="1"/>
      <c r="B354" s="158"/>
      <c r="C354" s="175"/>
      <c r="D354" s="189"/>
      <c r="E354" s="171"/>
      <c r="F354" s="171"/>
      <c r="G354" s="14" t="s">
        <v>25</v>
      </c>
      <c r="H354" s="14" t="s">
        <v>25</v>
      </c>
      <c r="I354" s="171"/>
      <c r="J354" s="16" t="s">
        <v>326</v>
      </c>
      <c r="K354" s="22">
        <f>1562647.59/1000</f>
        <v>1562.64759</v>
      </c>
    </row>
    <row r="355" spans="1:11" s="3" customFormat="1" ht="45" customHeight="1" x14ac:dyDescent="0.25">
      <c r="A355" s="1"/>
      <c r="B355" s="158"/>
      <c r="C355" s="175"/>
      <c r="D355" s="189"/>
      <c r="E355" s="171"/>
      <c r="F355" s="171"/>
      <c r="G355" s="14" t="s">
        <v>25</v>
      </c>
      <c r="H355" s="14" t="s">
        <v>25</v>
      </c>
      <c r="I355" s="171"/>
      <c r="J355" s="16" t="s">
        <v>327</v>
      </c>
      <c r="K355" s="22">
        <f>1192058.89/1000</f>
        <v>1192.0588899999998</v>
      </c>
    </row>
    <row r="356" spans="1:11" s="3" customFormat="1" ht="45" customHeight="1" x14ac:dyDescent="0.25">
      <c r="A356" s="1"/>
      <c r="B356" s="158"/>
      <c r="C356" s="175"/>
      <c r="D356" s="189"/>
      <c r="E356" s="171"/>
      <c r="F356" s="171"/>
      <c r="G356" s="14" t="s">
        <v>25</v>
      </c>
      <c r="H356" s="14" t="s">
        <v>25</v>
      </c>
      <c r="I356" s="171"/>
      <c r="J356" s="16" t="s">
        <v>328</v>
      </c>
      <c r="K356" s="22">
        <f>197507.94/1000</f>
        <v>197.50793999999999</v>
      </c>
    </row>
    <row r="357" spans="1:11" s="3" customFormat="1" ht="45" customHeight="1" x14ac:dyDescent="0.25">
      <c r="A357" s="1"/>
      <c r="B357" s="158"/>
      <c r="C357" s="175"/>
      <c r="D357" s="189"/>
      <c r="E357" s="171"/>
      <c r="F357" s="171"/>
      <c r="G357" s="14" t="s">
        <v>25</v>
      </c>
      <c r="H357" s="14" t="s">
        <v>25</v>
      </c>
      <c r="I357" s="171"/>
      <c r="J357" s="16" t="s">
        <v>329</v>
      </c>
      <c r="K357" s="22">
        <f>57808.38/1000</f>
        <v>57.80838</v>
      </c>
    </row>
    <row r="358" spans="1:11" s="3" customFormat="1" ht="25.5" hidden="1" customHeight="1" x14ac:dyDescent="0.25">
      <c r="A358" s="1"/>
      <c r="B358" s="158"/>
      <c r="C358" s="175"/>
      <c r="D358" s="189"/>
      <c r="E358" s="171"/>
      <c r="F358" s="171"/>
      <c r="G358" s="96"/>
      <c r="H358" s="96"/>
      <c r="I358" s="171"/>
      <c r="J358" s="16"/>
      <c r="K358" s="22"/>
    </row>
    <row r="359" spans="1:11" s="3" customFormat="1" ht="25.5" hidden="1" customHeight="1" x14ac:dyDescent="0.25">
      <c r="A359" s="1"/>
      <c r="B359" s="158"/>
      <c r="C359" s="175"/>
      <c r="D359" s="189"/>
      <c r="E359" s="171"/>
      <c r="F359" s="171"/>
      <c r="G359" s="96"/>
      <c r="H359" s="96"/>
      <c r="I359" s="171"/>
      <c r="J359" s="16"/>
      <c r="K359" s="22"/>
    </row>
    <row r="360" spans="1:11" s="3" customFormat="1" ht="25.5" hidden="1" customHeight="1" x14ac:dyDescent="0.25">
      <c r="A360" s="1"/>
      <c r="B360" s="158"/>
      <c r="C360" s="175"/>
      <c r="D360" s="189"/>
      <c r="E360" s="171"/>
      <c r="F360" s="171"/>
      <c r="G360" s="96"/>
      <c r="H360" s="96"/>
      <c r="I360" s="171"/>
      <c r="J360" s="16"/>
      <c r="K360" s="22"/>
    </row>
    <row r="361" spans="1:11" s="3" customFormat="1" ht="25.5" hidden="1" customHeight="1" x14ac:dyDescent="0.25">
      <c r="A361" s="1"/>
      <c r="B361" s="158"/>
      <c r="C361" s="175"/>
      <c r="D361" s="189"/>
      <c r="E361" s="171"/>
      <c r="F361" s="171"/>
      <c r="G361" s="96"/>
      <c r="H361" s="96"/>
      <c r="I361" s="171"/>
      <c r="J361" s="16"/>
      <c r="K361" s="22"/>
    </row>
    <row r="362" spans="1:11" s="3" customFormat="1" ht="25.5" hidden="1" customHeight="1" x14ac:dyDescent="0.25">
      <c r="A362" s="1"/>
      <c r="B362" s="158"/>
      <c r="C362" s="175"/>
      <c r="D362" s="189"/>
      <c r="E362" s="171"/>
      <c r="F362" s="171"/>
      <c r="G362" s="96"/>
      <c r="H362" s="96"/>
      <c r="I362" s="171"/>
      <c r="J362" s="16"/>
      <c r="K362" s="22"/>
    </row>
    <row r="363" spans="1:11" s="3" customFormat="1" hidden="1" x14ac:dyDescent="0.25">
      <c r="A363" s="1"/>
      <c r="B363" s="158"/>
      <c r="C363" s="175"/>
      <c r="D363" s="189"/>
      <c r="E363" s="171"/>
      <c r="F363" s="171"/>
      <c r="G363" s="96"/>
      <c r="H363" s="96"/>
      <c r="I363" s="171"/>
      <c r="J363" s="16"/>
      <c r="K363" s="22"/>
    </row>
    <row r="364" spans="1:11" s="3" customFormat="1" hidden="1" x14ac:dyDescent="0.25">
      <c r="A364" s="1"/>
      <c r="B364" s="158"/>
      <c r="C364" s="175"/>
      <c r="D364" s="189"/>
      <c r="E364" s="171"/>
      <c r="F364" s="171"/>
      <c r="G364" s="96"/>
      <c r="H364" s="96"/>
      <c r="I364" s="171"/>
      <c r="J364" s="16"/>
      <c r="K364" s="22"/>
    </row>
    <row r="365" spans="1:11" s="3" customFormat="1" hidden="1" x14ac:dyDescent="0.25">
      <c r="A365" s="1"/>
      <c r="B365" s="158"/>
      <c r="C365" s="175"/>
      <c r="D365" s="189"/>
      <c r="E365" s="171"/>
      <c r="F365" s="171"/>
      <c r="G365" s="96"/>
      <c r="H365" s="96"/>
      <c r="I365" s="171"/>
      <c r="J365" s="16"/>
      <c r="K365" s="22"/>
    </row>
    <row r="366" spans="1:11" s="3" customFormat="1" hidden="1" x14ac:dyDescent="0.25">
      <c r="A366" s="1"/>
      <c r="B366" s="158"/>
      <c r="C366" s="175"/>
      <c r="D366" s="190"/>
      <c r="E366" s="152"/>
      <c r="F366" s="152"/>
      <c r="G366" s="96"/>
      <c r="H366" s="96"/>
      <c r="I366" s="152"/>
      <c r="J366" s="16"/>
      <c r="K366" s="22"/>
    </row>
    <row r="367" spans="1:11" s="3" customFormat="1" ht="30" hidden="1" customHeight="1" x14ac:dyDescent="0.25">
      <c r="A367" s="1"/>
      <c r="B367" s="158"/>
      <c r="C367" s="178" t="s">
        <v>330</v>
      </c>
      <c r="D367" s="179"/>
      <c r="E367" s="14" t="s">
        <v>25</v>
      </c>
      <c r="F367" s="14" t="s">
        <v>25</v>
      </c>
      <c r="G367" s="14"/>
      <c r="H367" s="14"/>
      <c r="I367" s="14">
        <f>K367</f>
        <v>0</v>
      </c>
      <c r="J367" s="16"/>
      <c r="K367" s="22"/>
    </row>
    <row r="368" spans="1:11" s="3" customFormat="1" ht="45" x14ac:dyDescent="0.25">
      <c r="A368" s="1"/>
      <c r="B368" s="158"/>
      <c r="C368" s="13" t="s">
        <v>121</v>
      </c>
      <c r="D368" s="13" t="s">
        <v>27</v>
      </c>
      <c r="E368" s="14" t="s">
        <v>25</v>
      </c>
      <c r="F368" s="14">
        <f>H368</f>
        <v>477.10465999999997</v>
      </c>
      <c r="G368" s="14" t="s">
        <v>331</v>
      </c>
      <c r="H368" s="14">
        <f>477104.66/1000</f>
        <v>477.10465999999997</v>
      </c>
      <c r="I368" s="14">
        <f>K368</f>
        <v>292.25391580000002</v>
      </c>
      <c r="J368" s="14" t="s">
        <v>332</v>
      </c>
      <c r="K368" s="19">
        <v>292.25391580000002</v>
      </c>
    </row>
    <row r="369" spans="1:11" s="3" customFormat="1" ht="30" x14ac:dyDescent="0.25">
      <c r="A369" s="1"/>
      <c r="B369" s="158"/>
      <c r="C369" s="13" t="s">
        <v>21</v>
      </c>
      <c r="D369" s="13" t="s">
        <v>22</v>
      </c>
      <c r="E369" s="14" t="s">
        <v>23</v>
      </c>
      <c r="F369" s="14">
        <f>SUM(H369)</f>
        <v>500</v>
      </c>
      <c r="G369" s="13" t="s">
        <v>333</v>
      </c>
      <c r="H369" s="14">
        <f>500000/1000</f>
        <v>500</v>
      </c>
      <c r="I369" s="14">
        <f>SUM(K369)</f>
        <v>0</v>
      </c>
      <c r="J369" s="14" t="s">
        <v>25</v>
      </c>
      <c r="K369" s="19" t="s">
        <v>25</v>
      </c>
    </row>
    <row r="370" spans="1:11" s="3" customFormat="1" ht="30" x14ac:dyDescent="0.25">
      <c r="A370" s="1"/>
      <c r="B370" s="158"/>
      <c r="C370" s="15" t="s">
        <v>334</v>
      </c>
      <c r="D370" s="15" t="s">
        <v>335</v>
      </c>
      <c r="E370" s="79">
        <v>51.372</v>
      </c>
      <c r="F370" s="16" t="str">
        <f>H370</f>
        <v>__</v>
      </c>
      <c r="G370" s="16" t="s">
        <v>25</v>
      </c>
      <c r="H370" s="16" t="s">
        <v>25</v>
      </c>
      <c r="I370" s="16">
        <f>K370</f>
        <v>51.372</v>
      </c>
      <c r="J370" s="16" t="s">
        <v>336</v>
      </c>
      <c r="K370" s="22">
        <f>51372/1000</f>
        <v>51.372</v>
      </c>
    </row>
    <row r="371" spans="1:11" s="3" customFormat="1" ht="45" x14ac:dyDescent="0.25">
      <c r="A371" s="1"/>
      <c r="B371" s="158"/>
      <c r="C371" s="111" t="s">
        <v>337</v>
      </c>
      <c r="D371" s="14" t="s">
        <v>338</v>
      </c>
      <c r="E371" s="14" t="s">
        <v>25</v>
      </c>
      <c r="F371" s="14">
        <f>H371</f>
        <v>5.8650000000000002</v>
      </c>
      <c r="G371" s="14" t="s">
        <v>339</v>
      </c>
      <c r="H371" s="14">
        <f>5865/1000</f>
        <v>5.8650000000000002</v>
      </c>
      <c r="I371" s="100">
        <f>K371</f>
        <v>5.8650000000000002</v>
      </c>
      <c r="J371" s="100" t="s">
        <v>340</v>
      </c>
      <c r="K371" s="19">
        <f>5865/1000</f>
        <v>5.8650000000000002</v>
      </c>
    </row>
    <row r="372" spans="1:11" s="3" customFormat="1" ht="32.25" customHeight="1" x14ac:dyDescent="0.25">
      <c r="A372" s="1"/>
      <c r="B372" s="158"/>
      <c r="C372" s="175" t="s">
        <v>64</v>
      </c>
      <c r="D372" s="188" t="s">
        <v>341</v>
      </c>
      <c r="E372" s="166">
        <v>46306.663999999997</v>
      </c>
      <c r="F372" s="166">
        <f>SUM(H372:H378)</f>
        <v>46306.664109999998</v>
      </c>
      <c r="G372" s="16" t="s">
        <v>342</v>
      </c>
      <c r="H372" s="14">
        <v>7077.0933800000003</v>
      </c>
      <c r="I372" s="166">
        <f>SUM(K372:K378)</f>
        <v>0</v>
      </c>
      <c r="J372" s="14" t="s">
        <v>25</v>
      </c>
      <c r="K372" s="19" t="s">
        <v>25</v>
      </c>
    </row>
    <row r="373" spans="1:11" s="3" customFormat="1" ht="32.25" customHeight="1" x14ac:dyDescent="0.25">
      <c r="A373" s="1"/>
      <c r="B373" s="158"/>
      <c r="C373" s="175"/>
      <c r="D373" s="189"/>
      <c r="E373" s="171"/>
      <c r="F373" s="171"/>
      <c r="G373" s="16" t="s">
        <v>343</v>
      </c>
      <c r="H373" s="14">
        <v>3072.6079599999998</v>
      </c>
      <c r="I373" s="171"/>
      <c r="J373" s="14" t="s">
        <v>25</v>
      </c>
      <c r="K373" s="19" t="s">
        <v>25</v>
      </c>
    </row>
    <row r="374" spans="1:11" s="3" customFormat="1" ht="32.25" customHeight="1" x14ac:dyDescent="0.25">
      <c r="A374" s="1"/>
      <c r="B374" s="158"/>
      <c r="C374" s="175"/>
      <c r="D374" s="189"/>
      <c r="E374" s="171"/>
      <c r="F374" s="171"/>
      <c r="G374" s="16" t="s">
        <v>344</v>
      </c>
      <c r="H374" s="14">
        <v>5377.0639299999993</v>
      </c>
      <c r="I374" s="171"/>
      <c r="J374" s="14" t="s">
        <v>25</v>
      </c>
      <c r="K374" s="19" t="s">
        <v>25</v>
      </c>
    </row>
    <row r="375" spans="1:11" s="3" customFormat="1" ht="32.25" customHeight="1" x14ac:dyDescent="0.25">
      <c r="A375" s="1"/>
      <c r="B375" s="158"/>
      <c r="C375" s="175"/>
      <c r="D375" s="189"/>
      <c r="E375" s="171"/>
      <c r="F375" s="171"/>
      <c r="G375" s="16" t="s">
        <v>345</v>
      </c>
      <c r="H375" s="14">
        <v>5377.0639299999993</v>
      </c>
      <c r="I375" s="171"/>
      <c r="J375" s="14" t="s">
        <v>25</v>
      </c>
      <c r="K375" s="19" t="s">
        <v>25</v>
      </c>
    </row>
    <row r="376" spans="1:11" s="3" customFormat="1" ht="32.25" customHeight="1" x14ac:dyDescent="0.25">
      <c r="A376" s="1"/>
      <c r="B376" s="158"/>
      <c r="C376" s="175"/>
      <c r="D376" s="189"/>
      <c r="E376" s="171"/>
      <c r="F376" s="171"/>
      <c r="G376" s="16" t="s">
        <v>346</v>
      </c>
      <c r="H376" s="14">
        <v>6913.3679099999999</v>
      </c>
      <c r="I376" s="171"/>
      <c r="J376" s="14" t="s">
        <v>25</v>
      </c>
      <c r="K376" s="19" t="s">
        <v>25</v>
      </c>
    </row>
    <row r="377" spans="1:11" s="3" customFormat="1" ht="32.25" customHeight="1" x14ac:dyDescent="0.25">
      <c r="A377" s="1"/>
      <c r="B377" s="158"/>
      <c r="C377" s="175"/>
      <c r="D377" s="189"/>
      <c r="E377" s="171"/>
      <c r="F377" s="171"/>
      <c r="G377" s="16" t="s">
        <v>347</v>
      </c>
      <c r="H377" s="14">
        <v>10807.947099999999</v>
      </c>
      <c r="I377" s="171"/>
      <c r="J377" s="14" t="s">
        <v>25</v>
      </c>
      <c r="K377" s="19" t="s">
        <v>25</v>
      </c>
    </row>
    <row r="378" spans="1:11" s="3" customFormat="1" ht="32.25" customHeight="1" x14ac:dyDescent="0.25">
      <c r="A378" s="1"/>
      <c r="B378" s="158"/>
      <c r="C378" s="175"/>
      <c r="D378" s="190"/>
      <c r="E378" s="152"/>
      <c r="F378" s="152"/>
      <c r="G378" s="16" t="s">
        <v>348</v>
      </c>
      <c r="H378" s="14">
        <v>7681.5199000000002</v>
      </c>
      <c r="I378" s="152"/>
      <c r="J378" s="14" t="s">
        <v>25</v>
      </c>
      <c r="K378" s="19" t="s">
        <v>25</v>
      </c>
    </row>
    <row r="379" spans="1:11" s="3" customFormat="1" ht="32.25" customHeight="1" x14ac:dyDescent="0.25">
      <c r="A379" s="1"/>
      <c r="B379" s="158"/>
      <c r="C379" s="175" t="s">
        <v>26</v>
      </c>
      <c r="D379" s="176" t="s">
        <v>27</v>
      </c>
      <c r="E379" s="166" t="s">
        <v>25</v>
      </c>
      <c r="F379" s="166">
        <f>SUM(H379:H380)</f>
        <v>1750.7678997999999</v>
      </c>
      <c r="G379" s="16" t="s">
        <v>349</v>
      </c>
      <c r="H379" s="16">
        <f>1318530.27/1000*1.18</f>
        <v>1555.8657185999998</v>
      </c>
      <c r="I379" s="166">
        <f>SUM(K379:K380)</f>
        <v>0</v>
      </c>
      <c r="J379" s="14" t="s">
        <v>25</v>
      </c>
      <c r="K379" s="19" t="s">
        <v>25</v>
      </c>
    </row>
    <row r="380" spans="1:11" s="3" customFormat="1" ht="45.75" customHeight="1" x14ac:dyDescent="0.25">
      <c r="A380" s="1"/>
      <c r="B380" s="158"/>
      <c r="C380" s="175"/>
      <c r="D380" s="162"/>
      <c r="E380" s="152"/>
      <c r="F380" s="152"/>
      <c r="G380" s="13" t="s">
        <v>38</v>
      </c>
      <c r="H380" s="16">
        <v>194.90218120000003</v>
      </c>
      <c r="I380" s="152"/>
      <c r="J380" s="16" t="s">
        <v>25</v>
      </c>
      <c r="K380" s="22" t="s">
        <v>25</v>
      </c>
    </row>
    <row r="381" spans="1:11" s="3" customFormat="1" ht="48.75" customHeight="1" x14ac:dyDescent="0.25">
      <c r="A381" s="1"/>
      <c r="B381" s="158"/>
      <c r="C381" s="178" t="s">
        <v>350</v>
      </c>
      <c r="D381" s="179"/>
      <c r="E381" s="16" t="s">
        <v>25</v>
      </c>
      <c r="F381" s="14" t="str">
        <f t="shared" ref="F381:F444" si="20">H381</f>
        <v>__</v>
      </c>
      <c r="G381" s="16" t="s">
        <v>25</v>
      </c>
      <c r="H381" s="16" t="s">
        <v>25</v>
      </c>
      <c r="I381" s="14">
        <f t="shared" ref="I381:I400" si="21">K381</f>
        <v>20372.3492214</v>
      </c>
      <c r="J381" s="16" t="s">
        <v>25</v>
      </c>
      <c r="K381" s="22">
        <f>20372349.2214/1000</f>
        <v>20372.3492214</v>
      </c>
    </row>
    <row r="382" spans="1:11" s="3" customFormat="1" ht="48.75" customHeight="1" x14ac:dyDescent="0.25">
      <c r="A382" s="1"/>
      <c r="B382" s="158"/>
      <c r="C382" s="178" t="s">
        <v>351</v>
      </c>
      <c r="D382" s="179"/>
      <c r="E382" s="16" t="s">
        <v>25</v>
      </c>
      <c r="F382" s="14">
        <f t="shared" si="20"/>
        <v>-139.06889999999999</v>
      </c>
      <c r="G382" s="16" t="s">
        <v>352</v>
      </c>
      <c r="H382" s="16">
        <f>-139068.9/1000</f>
        <v>-139.06889999999999</v>
      </c>
      <c r="I382" s="14">
        <f t="shared" si="21"/>
        <v>0</v>
      </c>
      <c r="J382" s="16" t="s">
        <v>25</v>
      </c>
      <c r="K382" s="22">
        <v>0</v>
      </c>
    </row>
    <row r="383" spans="1:11" s="3" customFormat="1" ht="38.25" customHeight="1" x14ac:dyDescent="0.25">
      <c r="A383" s="1"/>
      <c r="B383" s="158"/>
      <c r="C383" s="167" t="s">
        <v>353</v>
      </c>
      <c r="D383" s="176" t="s">
        <v>354</v>
      </c>
      <c r="E383" s="166">
        <v>76117.5</v>
      </c>
      <c r="F383" s="166">
        <f>SUM(H383:H385)</f>
        <v>0</v>
      </c>
      <c r="G383" s="16" t="s">
        <v>25</v>
      </c>
      <c r="H383" s="16" t="s">
        <v>25</v>
      </c>
      <c r="I383" s="166">
        <f>SUM(K383:K385)</f>
        <v>61525.006727800006</v>
      </c>
      <c r="J383" s="16" t="s">
        <v>355</v>
      </c>
      <c r="K383" s="22">
        <v>23590.987726399999</v>
      </c>
    </row>
    <row r="384" spans="1:11" s="3" customFormat="1" ht="38.25" customHeight="1" x14ac:dyDescent="0.25">
      <c r="A384" s="1"/>
      <c r="B384" s="158"/>
      <c r="C384" s="170"/>
      <c r="D384" s="177"/>
      <c r="E384" s="171"/>
      <c r="F384" s="171"/>
      <c r="G384" s="16" t="s">
        <v>25</v>
      </c>
      <c r="H384" s="16" t="s">
        <v>25</v>
      </c>
      <c r="I384" s="171"/>
      <c r="J384" s="16" t="s">
        <v>356</v>
      </c>
      <c r="K384" s="22">
        <v>37934.019001400004</v>
      </c>
    </row>
    <row r="385" spans="1:11" s="3" customFormat="1" ht="38.25" hidden="1" customHeight="1" x14ac:dyDescent="0.25">
      <c r="A385" s="1"/>
      <c r="B385" s="158"/>
      <c r="C385" s="160"/>
      <c r="D385" s="162"/>
      <c r="E385" s="152"/>
      <c r="F385" s="152"/>
      <c r="G385" s="16"/>
      <c r="H385" s="16"/>
      <c r="I385" s="152"/>
      <c r="J385" s="16"/>
      <c r="K385" s="22"/>
    </row>
    <row r="386" spans="1:11" s="3" customFormat="1" ht="48.75" customHeight="1" x14ac:dyDescent="0.25">
      <c r="A386" s="1"/>
      <c r="B386" s="158"/>
      <c r="C386" s="178" t="s">
        <v>357</v>
      </c>
      <c r="D386" s="179"/>
      <c r="E386" s="16" t="s">
        <v>25</v>
      </c>
      <c r="F386" s="14" t="str">
        <f>H386</f>
        <v>__</v>
      </c>
      <c r="G386" s="16" t="s">
        <v>25</v>
      </c>
      <c r="H386" s="16" t="s">
        <v>25</v>
      </c>
      <c r="I386" s="14">
        <f t="shared" si="21"/>
        <v>29480.217524200001</v>
      </c>
      <c r="J386" s="16" t="s">
        <v>25</v>
      </c>
      <c r="K386" s="22">
        <v>29480.217524200001</v>
      </c>
    </row>
    <row r="387" spans="1:11" s="3" customFormat="1" ht="30.75" customHeight="1" x14ac:dyDescent="0.25">
      <c r="A387" s="1"/>
      <c r="B387" s="158"/>
      <c r="C387" s="184" t="s">
        <v>40</v>
      </c>
      <c r="D387" s="177"/>
      <c r="E387" s="15" t="s">
        <v>25</v>
      </c>
      <c r="F387" s="16">
        <f t="shared" si="20"/>
        <v>177.144667218552</v>
      </c>
      <c r="G387" s="15" t="s">
        <v>25</v>
      </c>
      <c r="H387" s="16">
        <f>177144.667218552/1000</f>
        <v>177.144667218552</v>
      </c>
      <c r="I387" s="16">
        <f t="shared" si="21"/>
        <v>222.92658</v>
      </c>
      <c r="J387" s="15" t="s">
        <v>25</v>
      </c>
      <c r="K387" s="22">
        <f>222926.58/1000</f>
        <v>222.92658</v>
      </c>
    </row>
    <row r="388" spans="1:11" s="3" customFormat="1" ht="29.25" customHeight="1" x14ac:dyDescent="0.25">
      <c r="A388" s="1"/>
      <c r="B388" s="158"/>
      <c r="C388" s="187" t="s">
        <v>41</v>
      </c>
      <c r="D388" s="176"/>
      <c r="E388" s="26" t="s">
        <v>25</v>
      </c>
      <c r="F388" s="14">
        <f t="shared" si="20"/>
        <v>240.708819091061</v>
      </c>
      <c r="G388" s="13" t="s">
        <v>25</v>
      </c>
      <c r="H388" s="14">
        <f>240708.819091061/1000</f>
        <v>240.708819091061</v>
      </c>
      <c r="I388" s="14">
        <f t="shared" si="21"/>
        <v>233.28882999999999</v>
      </c>
      <c r="J388" s="13" t="s">
        <v>25</v>
      </c>
      <c r="K388" s="19">
        <f>233288.83/1000</f>
        <v>233.28882999999999</v>
      </c>
    </row>
    <row r="389" spans="1:11" s="3" customFormat="1" ht="29.25" customHeight="1" x14ac:dyDescent="0.25">
      <c r="A389" s="1"/>
      <c r="B389" s="158"/>
      <c r="C389" s="187" t="s">
        <v>42</v>
      </c>
      <c r="D389" s="176"/>
      <c r="E389" s="26" t="s">
        <v>25</v>
      </c>
      <c r="F389" s="62">
        <f t="shared" si="20"/>
        <v>204.55814210750501</v>
      </c>
      <c r="G389" s="26" t="s">
        <v>25</v>
      </c>
      <c r="H389" s="62">
        <f>204558.142107505/1000</f>
        <v>204.55814210750501</v>
      </c>
      <c r="I389" s="62">
        <f t="shared" si="21"/>
        <v>191.30392999999998</v>
      </c>
      <c r="J389" s="26" t="s">
        <v>25</v>
      </c>
      <c r="K389" s="18">
        <f>191303.93/1000</f>
        <v>191.30392999999998</v>
      </c>
    </row>
    <row r="390" spans="1:11" s="3" customFormat="1" ht="30.75" customHeight="1" x14ac:dyDescent="0.25">
      <c r="A390" s="1"/>
      <c r="B390" s="158"/>
      <c r="C390" s="187" t="s">
        <v>43</v>
      </c>
      <c r="D390" s="176"/>
      <c r="E390" s="26" t="s">
        <v>25</v>
      </c>
      <c r="F390" s="62">
        <f t="shared" si="20"/>
        <v>181.840021809576</v>
      </c>
      <c r="G390" s="26" t="s">
        <v>25</v>
      </c>
      <c r="H390" s="62">
        <f>181840.021809576/1000</f>
        <v>181.840021809576</v>
      </c>
      <c r="I390" s="62">
        <f t="shared" si="21"/>
        <v>152.72726999999998</v>
      </c>
      <c r="J390" s="26" t="s">
        <v>25</v>
      </c>
      <c r="K390" s="18">
        <f>152727.27/1000</f>
        <v>152.72726999999998</v>
      </c>
    </row>
    <row r="391" spans="1:11" s="3" customFormat="1" ht="30" customHeight="1" x14ac:dyDescent="0.25">
      <c r="A391" s="1"/>
      <c r="B391" s="158"/>
      <c r="C391" s="187" t="s">
        <v>44</v>
      </c>
      <c r="D391" s="176"/>
      <c r="E391" s="26" t="s">
        <v>25</v>
      </c>
      <c r="F391" s="62">
        <f t="shared" si="20"/>
        <v>159.681469207155</v>
      </c>
      <c r="G391" s="26" t="s">
        <v>25</v>
      </c>
      <c r="H391" s="62">
        <f>159681.469207155/1000</f>
        <v>159.681469207155</v>
      </c>
      <c r="I391" s="62">
        <f t="shared" si="21"/>
        <v>179.54555999999999</v>
      </c>
      <c r="J391" s="26" t="s">
        <v>25</v>
      </c>
      <c r="K391" s="18">
        <f>179545.56/1000</f>
        <v>179.54555999999999</v>
      </c>
    </row>
    <row r="392" spans="1:11" s="3" customFormat="1" ht="30" customHeight="1" x14ac:dyDescent="0.25">
      <c r="A392" s="1"/>
      <c r="B392" s="158"/>
      <c r="C392" s="178" t="s">
        <v>45</v>
      </c>
      <c r="D392" s="179"/>
      <c r="E392" s="13" t="s">
        <v>25</v>
      </c>
      <c r="F392" s="14">
        <f t="shared" si="20"/>
        <v>159.46858736606998</v>
      </c>
      <c r="G392" s="13" t="s">
        <v>25</v>
      </c>
      <c r="H392" s="14">
        <f>159468.58736607/1000</f>
        <v>159.46858736606998</v>
      </c>
      <c r="I392" s="14">
        <f t="shared" si="21"/>
        <v>73.040649999999999</v>
      </c>
      <c r="J392" s="13" t="s">
        <v>25</v>
      </c>
      <c r="K392" s="19">
        <f>73040.65/1000</f>
        <v>73.040649999999999</v>
      </c>
    </row>
    <row r="393" spans="1:11" s="3" customFormat="1" ht="30.75" customHeight="1" x14ac:dyDescent="0.25">
      <c r="A393" s="1"/>
      <c r="B393" s="158"/>
      <c r="C393" s="184" t="s">
        <v>40</v>
      </c>
      <c r="D393" s="177"/>
      <c r="E393" s="15" t="s">
        <v>25</v>
      </c>
      <c r="F393" s="16">
        <f t="shared" si="20"/>
        <v>-177.144667218552</v>
      </c>
      <c r="G393" s="15" t="s">
        <v>25</v>
      </c>
      <c r="H393" s="27">
        <f>-177144.667218552/1000</f>
        <v>-177.144667218552</v>
      </c>
      <c r="I393" s="16">
        <f t="shared" si="21"/>
        <v>-222.92658</v>
      </c>
      <c r="J393" s="15" t="s">
        <v>25</v>
      </c>
      <c r="K393" s="28">
        <f>-222926.58/1000</f>
        <v>-222.92658</v>
      </c>
    </row>
    <row r="394" spans="1:11" s="3" customFormat="1" ht="29.25" customHeight="1" x14ac:dyDescent="0.25">
      <c r="A394" s="1"/>
      <c r="B394" s="158"/>
      <c r="C394" s="187" t="s">
        <v>41</v>
      </c>
      <c r="D394" s="176"/>
      <c r="E394" s="26" t="s">
        <v>25</v>
      </c>
      <c r="F394" s="14">
        <f t="shared" si="20"/>
        <v>-240.708819091061</v>
      </c>
      <c r="G394" s="13" t="s">
        <v>25</v>
      </c>
      <c r="H394" s="29">
        <f>-240708.819091061/1000</f>
        <v>-240.708819091061</v>
      </c>
      <c r="I394" s="14">
        <f t="shared" si="21"/>
        <v>-233.28882999999999</v>
      </c>
      <c r="J394" s="13" t="s">
        <v>25</v>
      </c>
      <c r="K394" s="30">
        <f>-233288.83/1000</f>
        <v>-233.28882999999999</v>
      </c>
    </row>
    <row r="395" spans="1:11" s="3" customFormat="1" ht="29.25" customHeight="1" x14ac:dyDescent="0.25">
      <c r="A395" s="1"/>
      <c r="B395" s="158"/>
      <c r="C395" s="187" t="s">
        <v>42</v>
      </c>
      <c r="D395" s="176"/>
      <c r="E395" s="26" t="s">
        <v>25</v>
      </c>
      <c r="F395" s="62">
        <f t="shared" si="20"/>
        <v>-204.55814210750501</v>
      </c>
      <c r="G395" s="26" t="s">
        <v>25</v>
      </c>
      <c r="H395" s="63">
        <f>-204558.142107505/1000</f>
        <v>-204.55814210750501</v>
      </c>
      <c r="I395" s="62">
        <f t="shared" si="21"/>
        <v>-191.30392999999998</v>
      </c>
      <c r="J395" s="26" t="s">
        <v>25</v>
      </c>
      <c r="K395" s="105">
        <f>-191303.93/1000</f>
        <v>-191.30392999999998</v>
      </c>
    </row>
    <row r="396" spans="1:11" s="3" customFormat="1" ht="30.75" customHeight="1" x14ac:dyDescent="0.25">
      <c r="A396" s="1"/>
      <c r="B396" s="158"/>
      <c r="C396" s="187" t="s">
        <v>43</v>
      </c>
      <c r="D396" s="176"/>
      <c r="E396" s="26" t="s">
        <v>25</v>
      </c>
      <c r="F396" s="62">
        <f t="shared" si="20"/>
        <v>-181.840021809576</v>
      </c>
      <c r="G396" s="26" t="s">
        <v>25</v>
      </c>
      <c r="H396" s="63">
        <f>-181840.021809576/1000</f>
        <v>-181.840021809576</v>
      </c>
      <c r="I396" s="62">
        <f t="shared" si="21"/>
        <v>-152.72726999999998</v>
      </c>
      <c r="J396" s="26" t="s">
        <v>25</v>
      </c>
      <c r="K396" s="105">
        <f>-152727.27/1000</f>
        <v>-152.72726999999998</v>
      </c>
    </row>
    <row r="397" spans="1:11" s="3" customFormat="1" ht="30" customHeight="1" x14ac:dyDescent="0.25">
      <c r="A397" s="1"/>
      <c r="B397" s="158"/>
      <c r="C397" s="187" t="s">
        <v>44</v>
      </c>
      <c r="D397" s="176"/>
      <c r="E397" s="26" t="s">
        <v>25</v>
      </c>
      <c r="F397" s="62">
        <f t="shared" si="20"/>
        <v>-159.681469207155</v>
      </c>
      <c r="G397" s="26" t="s">
        <v>25</v>
      </c>
      <c r="H397" s="63">
        <f>-159681.469207155/1000</f>
        <v>-159.681469207155</v>
      </c>
      <c r="I397" s="62">
        <f t="shared" si="21"/>
        <v>-179.54555999999999</v>
      </c>
      <c r="J397" s="26" t="s">
        <v>25</v>
      </c>
      <c r="K397" s="105">
        <f>-179545.56/1000</f>
        <v>-179.54555999999999</v>
      </c>
    </row>
    <row r="398" spans="1:11" s="3" customFormat="1" ht="30" customHeight="1" thickBot="1" x14ac:dyDescent="0.3">
      <c r="A398" s="1"/>
      <c r="B398" s="158"/>
      <c r="C398" s="187" t="s">
        <v>45</v>
      </c>
      <c r="D398" s="176"/>
      <c r="E398" s="26" t="s">
        <v>25</v>
      </c>
      <c r="F398" s="62">
        <f t="shared" si="20"/>
        <v>-159.46858736606998</v>
      </c>
      <c r="G398" s="26" t="s">
        <v>25</v>
      </c>
      <c r="H398" s="63">
        <f>-159468.58736607/1000</f>
        <v>-159.46858736606998</v>
      </c>
      <c r="I398" s="62">
        <f t="shared" si="21"/>
        <v>-73.040649999999999</v>
      </c>
      <c r="J398" s="26" t="s">
        <v>25</v>
      </c>
      <c r="K398" s="105">
        <f>-73040.65/1000</f>
        <v>-73.040649999999999</v>
      </c>
    </row>
    <row r="399" spans="1:11" s="3" customFormat="1" ht="45" customHeight="1" x14ac:dyDescent="0.25">
      <c r="A399" s="1"/>
      <c r="B399" s="182" t="s">
        <v>358</v>
      </c>
      <c r="C399" s="35" t="s">
        <v>21</v>
      </c>
      <c r="D399" s="60" t="s">
        <v>22</v>
      </c>
      <c r="E399" s="36" t="s">
        <v>23</v>
      </c>
      <c r="F399" s="36">
        <f t="shared" si="20"/>
        <v>150</v>
      </c>
      <c r="G399" s="35" t="s">
        <v>359</v>
      </c>
      <c r="H399" s="36">
        <f>150000/1000</f>
        <v>150</v>
      </c>
      <c r="I399" s="53" t="str">
        <f t="shared" si="21"/>
        <v>__</v>
      </c>
      <c r="J399" s="36" t="s">
        <v>25</v>
      </c>
      <c r="K399" s="37" t="s">
        <v>25</v>
      </c>
    </row>
    <row r="400" spans="1:11" s="3" customFormat="1" ht="45" x14ac:dyDescent="0.25">
      <c r="A400" s="1"/>
      <c r="B400" s="183"/>
      <c r="C400" s="13" t="s">
        <v>26</v>
      </c>
      <c r="D400" s="13" t="s">
        <v>27</v>
      </c>
      <c r="E400" s="14" t="s">
        <v>25</v>
      </c>
      <c r="F400" s="14">
        <f t="shared" si="20"/>
        <v>1075.5284994000001</v>
      </c>
      <c r="G400" s="14" t="s">
        <v>135</v>
      </c>
      <c r="H400" s="14">
        <f>1075528.4994/1000</f>
        <v>1075.5284994000001</v>
      </c>
      <c r="I400" s="23">
        <f t="shared" si="21"/>
        <v>1075.5284994000001</v>
      </c>
      <c r="J400" s="14" t="s">
        <v>136</v>
      </c>
      <c r="K400" s="22">
        <f>1075528.4994/1000</f>
        <v>1075.5284994000001</v>
      </c>
    </row>
    <row r="401" spans="1:11" s="3" customFormat="1" ht="33.75" customHeight="1" x14ac:dyDescent="0.25">
      <c r="A401" s="1"/>
      <c r="B401" s="183"/>
      <c r="C401" s="167" t="s">
        <v>137</v>
      </c>
      <c r="D401" s="167" t="s">
        <v>360</v>
      </c>
      <c r="E401" s="166">
        <f>1445500/1000</f>
        <v>1445.5</v>
      </c>
      <c r="F401" s="166">
        <f>SUM(H401:H403)</f>
        <v>773.76414</v>
      </c>
      <c r="G401" s="14" t="s">
        <v>361</v>
      </c>
      <c r="H401" s="23">
        <f>773764.14/1000</f>
        <v>773.76414</v>
      </c>
      <c r="I401" s="166">
        <f>SUM(K401:K403)</f>
        <v>1445.5000024000001</v>
      </c>
      <c r="J401" s="14" t="s">
        <v>362</v>
      </c>
      <c r="K401" s="39">
        <f>773764.14/1000</f>
        <v>773.76414</v>
      </c>
    </row>
    <row r="402" spans="1:11" s="3" customFormat="1" ht="33.75" customHeight="1" x14ac:dyDescent="0.25">
      <c r="A402" s="1"/>
      <c r="B402" s="183"/>
      <c r="C402" s="170"/>
      <c r="D402" s="170"/>
      <c r="E402" s="171"/>
      <c r="F402" s="171"/>
      <c r="G402" s="14" t="s">
        <v>25</v>
      </c>
      <c r="H402" s="23" t="s">
        <v>25</v>
      </c>
      <c r="I402" s="171"/>
      <c r="J402" s="14" t="s">
        <v>363</v>
      </c>
      <c r="K402" s="39">
        <v>214.37252340000001</v>
      </c>
    </row>
    <row r="403" spans="1:11" s="3" customFormat="1" ht="33.75" customHeight="1" x14ac:dyDescent="0.25">
      <c r="A403" s="1"/>
      <c r="B403" s="183"/>
      <c r="C403" s="160"/>
      <c r="D403" s="160"/>
      <c r="E403" s="152"/>
      <c r="F403" s="152"/>
      <c r="G403" s="14" t="s">
        <v>25</v>
      </c>
      <c r="H403" s="23" t="s">
        <v>25</v>
      </c>
      <c r="I403" s="152"/>
      <c r="J403" s="14" t="s">
        <v>364</v>
      </c>
      <c r="K403" s="41">
        <v>457.363339</v>
      </c>
    </row>
    <row r="404" spans="1:11" s="3" customFormat="1" ht="64.5" customHeight="1" x14ac:dyDescent="0.25">
      <c r="A404" s="1"/>
      <c r="B404" s="183"/>
      <c r="C404" s="13" t="s">
        <v>365</v>
      </c>
      <c r="D404" s="13" t="s">
        <v>366</v>
      </c>
      <c r="E404" s="14">
        <f>86009.11/1000</f>
        <v>86.009110000000007</v>
      </c>
      <c r="F404" s="14">
        <f>H404</f>
        <v>86.009110000000007</v>
      </c>
      <c r="G404" s="14" t="s">
        <v>367</v>
      </c>
      <c r="H404" s="23">
        <v>86.009110000000007</v>
      </c>
      <c r="I404" s="23" t="str">
        <f t="shared" ref="I404:I409" si="22">K404</f>
        <v>__</v>
      </c>
      <c r="J404" s="14" t="s">
        <v>25</v>
      </c>
      <c r="K404" s="19" t="s">
        <v>25</v>
      </c>
    </row>
    <row r="405" spans="1:11" s="3" customFormat="1" ht="45.75" customHeight="1" x14ac:dyDescent="0.25">
      <c r="A405" s="1"/>
      <c r="B405" s="183"/>
      <c r="C405" s="15" t="s">
        <v>368</v>
      </c>
      <c r="D405" s="15" t="s">
        <v>369</v>
      </c>
      <c r="E405" s="16">
        <v>2193.88</v>
      </c>
      <c r="F405" s="23" t="str">
        <f>H405</f>
        <v>__</v>
      </c>
      <c r="G405" s="16" t="s">
        <v>25</v>
      </c>
      <c r="H405" s="25" t="s">
        <v>25</v>
      </c>
      <c r="I405" s="23">
        <f t="shared" si="22"/>
        <v>689.11183440000002</v>
      </c>
      <c r="J405" s="14" t="s">
        <v>370</v>
      </c>
      <c r="K405" s="19">
        <v>689.11183440000002</v>
      </c>
    </row>
    <row r="406" spans="1:11" s="3" customFormat="1" ht="30" x14ac:dyDescent="0.25">
      <c r="A406" s="1"/>
      <c r="B406" s="183"/>
      <c r="C406" s="15" t="s">
        <v>26</v>
      </c>
      <c r="D406" s="15" t="s">
        <v>27</v>
      </c>
      <c r="E406" s="16" t="s">
        <v>25</v>
      </c>
      <c r="F406" s="16">
        <f>H406</f>
        <v>1959.3437793999999</v>
      </c>
      <c r="G406" s="16" t="s">
        <v>349</v>
      </c>
      <c r="H406" s="112">
        <f>1660460.83/1000*1.18</f>
        <v>1959.3437793999999</v>
      </c>
      <c r="I406" s="23">
        <f t="shared" si="22"/>
        <v>1959.3437793999999</v>
      </c>
      <c r="J406" s="14" t="s">
        <v>371</v>
      </c>
      <c r="K406" s="113">
        <v>1959.3437793999999</v>
      </c>
    </row>
    <row r="407" spans="1:11" s="3" customFormat="1" ht="33.75" customHeight="1" x14ac:dyDescent="0.25">
      <c r="A407" s="1"/>
      <c r="B407" s="183"/>
      <c r="C407" s="13" t="s">
        <v>372</v>
      </c>
      <c r="D407" s="114" t="s">
        <v>373</v>
      </c>
      <c r="E407" s="16">
        <v>200</v>
      </c>
      <c r="F407" s="16">
        <f>H407</f>
        <v>100</v>
      </c>
      <c r="G407" s="16" t="s">
        <v>374</v>
      </c>
      <c r="H407" s="16">
        <v>100</v>
      </c>
      <c r="I407" s="23" t="str">
        <f t="shared" si="22"/>
        <v>__</v>
      </c>
      <c r="J407" s="14" t="s">
        <v>25</v>
      </c>
      <c r="K407" s="113" t="s">
        <v>25</v>
      </c>
    </row>
    <row r="408" spans="1:11" s="3" customFormat="1" ht="31.5" customHeight="1" x14ac:dyDescent="0.25">
      <c r="A408" s="1"/>
      <c r="B408" s="183"/>
      <c r="C408" s="178" t="s">
        <v>147</v>
      </c>
      <c r="D408" s="179"/>
      <c r="E408" s="13" t="s">
        <v>25</v>
      </c>
      <c r="F408" s="14">
        <f t="shared" si="20"/>
        <v>25.9019339859375</v>
      </c>
      <c r="G408" s="13" t="s">
        <v>25</v>
      </c>
      <c r="H408" s="14">
        <f>25901.9339859375/1000</f>
        <v>25.9019339859375</v>
      </c>
      <c r="I408" s="23">
        <f t="shared" si="22"/>
        <v>84.607869999999991</v>
      </c>
      <c r="J408" s="13" t="s">
        <v>25</v>
      </c>
      <c r="K408" s="39">
        <f>84607.87/1000</f>
        <v>84.607869999999991</v>
      </c>
    </row>
    <row r="409" spans="1:11" s="3" customFormat="1" ht="31.5" customHeight="1" thickBot="1" x14ac:dyDescent="0.3">
      <c r="A409" s="1"/>
      <c r="B409" s="183"/>
      <c r="C409" s="178" t="s">
        <v>147</v>
      </c>
      <c r="D409" s="179"/>
      <c r="E409" s="13" t="s">
        <v>25</v>
      </c>
      <c r="F409" s="14">
        <f t="shared" si="20"/>
        <v>-25.9019339859375</v>
      </c>
      <c r="G409" s="13" t="s">
        <v>25</v>
      </c>
      <c r="H409" s="29">
        <f>-25901.9339859375/1000</f>
        <v>-25.9019339859375</v>
      </c>
      <c r="I409" s="23">
        <f t="shared" si="22"/>
        <v>-84.607869999999991</v>
      </c>
      <c r="J409" s="13" t="s">
        <v>25</v>
      </c>
      <c r="K409" s="59">
        <f>-84607.87/1000</f>
        <v>-84.607869999999991</v>
      </c>
    </row>
    <row r="410" spans="1:11" s="3" customFormat="1" ht="46.5" customHeight="1" x14ac:dyDescent="0.25">
      <c r="A410" s="1"/>
      <c r="B410" s="182" t="s">
        <v>375</v>
      </c>
      <c r="C410" s="159" t="s">
        <v>376</v>
      </c>
      <c r="D410" s="159" t="s">
        <v>377</v>
      </c>
      <c r="E410" s="151">
        <f>8181813.14/1000</f>
        <v>8181.8131399999993</v>
      </c>
      <c r="F410" s="151">
        <f>SUM(H410:H417)</f>
        <v>6632.8683799999999</v>
      </c>
      <c r="G410" s="35" t="s">
        <v>378</v>
      </c>
      <c r="H410" s="36">
        <f>944154.45/1000</f>
        <v>944.15445</v>
      </c>
      <c r="I410" s="151">
        <f>SUM(K410:K417)</f>
        <v>8503.6776461999998</v>
      </c>
      <c r="J410" s="35" t="s">
        <v>379</v>
      </c>
      <c r="K410" s="54">
        <f>944154.45/1000</f>
        <v>944.15445</v>
      </c>
    </row>
    <row r="411" spans="1:11" s="3" customFormat="1" ht="46.5" customHeight="1" x14ac:dyDescent="0.25">
      <c r="A411" s="1"/>
      <c r="B411" s="183"/>
      <c r="C411" s="170"/>
      <c r="D411" s="170"/>
      <c r="E411" s="171"/>
      <c r="F411" s="171"/>
      <c r="G411" s="15" t="s">
        <v>380</v>
      </c>
      <c r="H411" s="16">
        <v>4972.3199500000001</v>
      </c>
      <c r="I411" s="171"/>
      <c r="J411" s="15" t="s">
        <v>381</v>
      </c>
      <c r="K411" s="41">
        <v>716.39397719999999</v>
      </c>
    </row>
    <row r="412" spans="1:11" s="3" customFormat="1" ht="46.5" customHeight="1" x14ac:dyDescent="0.25">
      <c r="A412" s="1"/>
      <c r="B412" s="183"/>
      <c r="C412" s="170"/>
      <c r="D412" s="170"/>
      <c r="E412" s="171"/>
      <c r="F412" s="171"/>
      <c r="G412" s="15" t="s">
        <v>25</v>
      </c>
      <c r="H412" s="16" t="s">
        <v>25</v>
      </c>
      <c r="I412" s="171"/>
      <c r="J412" s="15" t="s">
        <v>382</v>
      </c>
      <c r="K412" s="41">
        <v>4972.3199545999996</v>
      </c>
    </row>
    <row r="413" spans="1:11" s="3" customFormat="1" ht="46.5" customHeight="1" x14ac:dyDescent="0.25">
      <c r="A413" s="1"/>
      <c r="B413" s="183"/>
      <c r="C413" s="170"/>
      <c r="D413" s="170"/>
      <c r="E413" s="171"/>
      <c r="F413" s="171"/>
      <c r="G413" s="15" t="s">
        <v>25</v>
      </c>
      <c r="H413" s="16" t="s">
        <v>25</v>
      </c>
      <c r="I413" s="171"/>
      <c r="J413" s="15" t="s">
        <v>383</v>
      </c>
      <c r="K413" s="41">
        <v>938.44048900000007</v>
      </c>
    </row>
    <row r="414" spans="1:11" s="3" customFormat="1" ht="46.5" customHeight="1" x14ac:dyDescent="0.25">
      <c r="A414" s="1"/>
      <c r="B414" s="183"/>
      <c r="C414" s="170"/>
      <c r="D414" s="170"/>
      <c r="E414" s="171"/>
      <c r="F414" s="171"/>
      <c r="G414" s="15" t="s">
        <v>25</v>
      </c>
      <c r="H414" s="16" t="s">
        <v>25</v>
      </c>
      <c r="I414" s="171"/>
      <c r="J414" s="15" t="s">
        <v>384</v>
      </c>
      <c r="K414" s="41">
        <v>506.08919700000001</v>
      </c>
    </row>
    <row r="415" spans="1:11" s="3" customFormat="1" ht="46.5" customHeight="1" x14ac:dyDescent="0.25">
      <c r="A415" s="1"/>
      <c r="B415" s="183"/>
      <c r="C415" s="170"/>
      <c r="D415" s="170"/>
      <c r="E415" s="171"/>
      <c r="F415" s="171"/>
      <c r="G415" s="15" t="s">
        <v>25</v>
      </c>
      <c r="H415" s="16" t="s">
        <v>25</v>
      </c>
      <c r="I415" s="171"/>
      <c r="J415" s="15" t="s">
        <v>385</v>
      </c>
      <c r="K415" s="41">
        <v>426.27957839999999</v>
      </c>
    </row>
    <row r="416" spans="1:11" s="3" customFormat="1" ht="46.5" hidden="1" customHeight="1" x14ac:dyDescent="0.25">
      <c r="A416" s="1"/>
      <c r="B416" s="183"/>
      <c r="C416" s="160"/>
      <c r="D416" s="160"/>
      <c r="E416" s="171"/>
      <c r="F416" s="171"/>
      <c r="G416" s="15"/>
      <c r="H416" s="16"/>
      <c r="I416" s="171"/>
      <c r="J416" s="15"/>
      <c r="K416" s="41"/>
    </row>
    <row r="417" spans="1:11" s="3" customFormat="1" ht="74.25" customHeight="1" x14ac:dyDescent="0.25">
      <c r="A417" s="1"/>
      <c r="B417" s="183"/>
      <c r="C417" s="13" t="s">
        <v>386</v>
      </c>
      <c r="D417" s="13" t="s">
        <v>387</v>
      </c>
      <c r="E417" s="152"/>
      <c r="F417" s="152"/>
      <c r="G417" s="15" t="s">
        <v>388</v>
      </c>
      <c r="H417" s="79">
        <v>716.39397999999994</v>
      </c>
      <c r="I417" s="152"/>
      <c r="J417" s="15" t="s">
        <v>25</v>
      </c>
      <c r="K417" s="41" t="s">
        <v>25</v>
      </c>
    </row>
    <row r="418" spans="1:11" s="3" customFormat="1" ht="51.75" customHeight="1" x14ac:dyDescent="0.25">
      <c r="A418" s="1"/>
      <c r="B418" s="183"/>
      <c r="C418" s="178" t="s">
        <v>389</v>
      </c>
      <c r="D418" s="179"/>
      <c r="E418" s="14" t="s">
        <v>25</v>
      </c>
      <c r="F418" s="14" t="str">
        <f t="shared" si="20"/>
        <v>__</v>
      </c>
      <c r="G418" s="14" t="s">
        <v>25</v>
      </c>
      <c r="H418" s="14" t="s">
        <v>25</v>
      </c>
      <c r="I418" s="14">
        <f t="shared" ref="I418:I443" si="23">K418</f>
        <v>1776.9578228</v>
      </c>
      <c r="J418" s="14" t="s">
        <v>25</v>
      </c>
      <c r="K418" s="19">
        <f>1776957.8228/1000</f>
        <v>1776.9578228</v>
      </c>
    </row>
    <row r="419" spans="1:11" s="3" customFormat="1" ht="48.75" customHeight="1" x14ac:dyDescent="0.25">
      <c r="A419" s="1"/>
      <c r="B419" s="183"/>
      <c r="C419" s="175" t="s">
        <v>390</v>
      </c>
      <c r="D419" s="175"/>
      <c r="E419" s="14" t="s">
        <v>25</v>
      </c>
      <c r="F419" s="14" t="str">
        <f t="shared" si="20"/>
        <v>__</v>
      </c>
      <c r="G419" s="14" t="s">
        <v>25</v>
      </c>
      <c r="H419" s="14" t="s">
        <v>25</v>
      </c>
      <c r="I419" s="14">
        <f t="shared" si="23"/>
        <v>2413.9988767999998</v>
      </c>
      <c r="J419" s="14" t="s">
        <v>25</v>
      </c>
      <c r="K419" s="22">
        <f>2045761.76*1.18/1000</f>
        <v>2413.9988767999998</v>
      </c>
    </row>
    <row r="420" spans="1:11" s="3" customFormat="1" ht="48.75" customHeight="1" x14ac:dyDescent="0.25">
      <c r="A420" s="1"/>
      <c r="B420" s="183"/>
      <c r="C420" s="175" t="s">
        <v>391</v>
      </c>
      <c r="D420" s="175"/>
      <c r="E420" s="14" t="s">
        <v>25</v>
      </c>
      <c r="F420" s="14" t="str">
        <f t="shared" si="20"/>
        <v>__</v>
      </c>
      <c r="G420" s="14" t="s">
        <v>25</v>
      </c>
      <c r="H420" s="14" t="s">
        <v>25</v>
      </c>
      <c r="I420" s="14">
        <f t="shared" si="23"/>
        <v>2138.0800077999997</v>
      </c>
      <c r="J420" s="14" t="s">
        <v>25</v>
      </c>
      <c r="K420" s="22">
        <v>2138.0800077999997</v>
      </c>
    </row>
    <row r="421" spans="1:11" s="3" customFormat="1" ht="48.75" customHeight="1" x14ac:dyDescent="0.25">
      <c r="A421" s="1"/>
      <c r="B421" s="183"/>
      <c r="C421" s="175" t="s">
        <v>392</v>
      </c>
      <c r="D421" s="175"/>
      <c r="E421" s="14" t="s">
        <v>25</v>
      </c>
      <c r="F421" s="14" t="str">
        <f t="shared" si="20"/>
        <v>__</v>
      </c>
      <c r="G421" s="14" t="s">
        <v>25</v>
      </c>
      <c r="H421" s="14" t="s">
        <v>25</v>
      </c>
      <c r="I421" s="14">
        <f t="shared" si="23"/>
        <v>3201.6642403999995</v>
      </c>
      <c r="J421" s="14" t="s">
        <v>25</v>
      </c>
      <c r="K421" s="22">
        <v>3201.6642403999995</v>
      </c>
    </row>
    <row r="422" spans="1:11" s="3" customFormat="1" ht="30" x14ac:dyDescent="0.25">
      <c r="A422" s="1"/>
      <c r="B422" s="183"/>
      <c r="C422" s="15" t="s">
        <v>26</v>
      </c>
      <c r="D422" s="15" t="s">
        <v>27</v>
      </c>
      <c r="E422" s="16" t="s">
        <v>25</v>
      </c>
      <c r="F422" s="16">
        <f t="shared" si="20"/>
        <v>1181.6315506000001</v>
      </c>
      <c r="G422" s="16" t="s">
        <v>349</v>
      </c>
      <c r="H422" s="16">
        <f>1001382.67/1000*1.18</f>
        <v>1181.6315506000001</v>
      </c>
      <c r="I422" s="14" t="str">
        <f t="shared" si="23"/>
        <v>__</v>
      </c>
      <c r="J422" s="14" t="s">
        <v>25</v>
      </c>
      <c r="K422" s="19" t="s">
        <v>25</v>
      </c>
    </row>
    <row r="423" spans="1:11" s="3" customFormat="1" ht="39.75" customHeight="1" x14ac:dyDescent="0.25">
      <c r="A423" s="1"/>
      <c r="B423" s="183"/>
      <c r="C423" s="15" t="s">
        <v>393</v>
      </c>
      <c r="D423" s="114" t="s">
        <v>394</v>
      </c>
      <c r="E423" s="16">
        <f>6879065.5/1000</f>
        <v>6879.0654999999997</v>
      </c>
      <c r="F423" s="16">
        <f t="shared" si="20"/>
        <v>6879.0654999999997</v>
      </c>
      <c r="G423" s="15" t="s">
        <v>395</v>
      </c>
      <c r="H423" s="16">
        <f>6879065.5/1000</f>
        <v>6879.0654999999997</v>
      </c>
      <c r="I423" s="25" t="str">
        <f t="shared" si="23"/>
        <v>__</v>
      </c>
      <c r="J423" s="15" t="s">
        <v>25</v>
      </c>
      <c r="K423" s="41" t="s">
        <v>25</v>
      </c>
    </row>
    <row r="424" spans="1:11" s="3" customFormat="1" ht="39.75" customHeight="1" x14ac:dyDescent="0.25">
      <c r="A424" s="1"/>
      <c r="B424" s="183"/>
      <c r="C424" s="13" t="s">
        <v>121</v>
      </c>
      <c r="D424" s="21" t="s">
        <v>27</v>
      </c>
      <c r="E424" s="13" t="s">
        <v>25</v>
      </c>
      <c r="F424" s="14">
        <f t="shared" si="20"/>
        <v>239.88992999999999</v>
      </c>
      <c r="G424" s="13" t="s">
        <v>396</v>
      </c>
      <c r="H424" s="61">
        <f>239889.93/1000</f>
        <v>239.88992999999999</v>
      </c>
      <c r="I424" s="23">
        <f t="shared" si="23"/>
        <v>1181.6315506000001</v>
      </c>
      <c r="J424" s="167" t="s">
        <v>371</v>
      </c>
      <c r="K424" s="186">
        <v>1181.6315506000001</v>
      </c>
    </row>
    <row r="425" spans="1:11" s="3" customFormat="1" ht="51.75" customHeight="1" x14ac:dyDescent="0.25">
      <c r="A425" s="1"/>
      <c r="B425" s="183"/>
      <c r="C425" s="13" t="s">
        <v>121</v>
      </c>
      <c r="D425" s="21" t="s">
        <v>27</v>
      </c>
      <c r="E425" s="13" t="s">
        <v>25</v>
      </c>
      <c r="F425" s="14">
        <f t="shared" si="20"/>
        <v>491.85190999999998</v>
      </c>
      <c r="G425" s="13" t="s">
        <v>122</v>
      </c>
      <c r="H425" s="61">
        <f>491851.91/1000</f>
        <v>491.85190999999998</v>
      </c>
      <c r="I425" s="23">
        <f t="shared" si="23"/>
        <v>0</v>
      </c>
      <c r="J425" s="160"/>
      <c r="K425" s="181"/>
    </row>
    <row r="426" spans="1:11" s="3" customFormat="1" ht="44.25" customHeight="1" x14ac:dyDescent="0.25">
      <c r="A426" s="1"/>
      <c r="B426" s="183"/>
      <c r="C426" s="15" t="s">
        <v>397</v>
      </c>
      <c r="D426" s="15" t="s">
        <v>398</v>
      </c>
      <c r="E426" s="16">
        <v>1405</v>
      </c>
      <c r="F426" s="16">
        <f t="shared" si="20"/>
        <v>1405</v>
      </c>
      <c r="G426" s="14" t="s">
        <v>399</v>
      </c>
      <c r="H426" s="14">
        <f>1405000/1000</f>
        <v>1405</v>
      </c>
      <c r="I426" s="16" t="str">
        <f>K426</f>
        <v>__</v>
      </c>
      <c r="J426" s="16" t="s">
        <v>25</v>
      </c>
      <c r="K426" s="22" t="s">
        <v>25</v>
      </c>
    </row>
    <row r="427" spans="1:11" s="3" customFormat="1" ht="36" customHeight="1" x14ac:dyDescent="0.25">
      <c r="A427" s="1"/>
      <c r="B427" s="183"/>
      <c r="C427" s="163" t="s">
        <v>42</v>
      </c>
      <c r="D427" s="162"/>
      <c r="E427" s="15" t="s">
        <v>25</v>
      </c>
      <c r="F427" s="16">
        <f t="shared" si="20"/>
        <v>26.941724320040699</v>
      </c>
      <c r="G427" s="15" t="s">
        <v>25</v>
      </c>
      <c r="H427" s="16">
        <f>26941.7243200407/1000</f>
        <v>26.941724320040699</v>
      </c>
      <c r="I427" s="25">
        <f t="shared" si="23"/>
        <v>106.81099</v>
      </c>
      <c r="J427" s="15" t="s">
        <v>25</v>
      </c>
      <c r="K427" s="41">
        <f>106810.99/1000</f>
        <v>106.81099</v>
      </c>
    </row>
    <row r="428" spans="1:11" s="3" customFormat="1" ht="36" customHeight="1" x14ac:dyDescent="0.25">
      <c r="A428" s="1"/>
      <c r="B428" s="183"/>
      <c r="C428" s="178" t="s">
        <v>43</v>
      </c>
      <c r="D428" s="179"/>
      <c r="E428" s="13" t="s">
        <v>25</v>
      </c>
      <c r="F428" s="14">
        <f t="shared" si="20"/>
        <v>107.794776284614</v>
      </c>
      <c r="G428" s="13" t="s">
        <v>25</v>
      </c>
      <c r="H428" s="14">
        <f>107794.776284614/1000</f>
        <v>107.794776284614</v>
      </c>
      <c r="I428" s="23">
        <f t="shared" si="23"/>
        <v>116.15196</v>
      </c>
      <c r="J428" s="13" t="s">
        <v>25</v>
      </c>
      <c r="K428" s="39">
        <f>116151.96/1000</f>
        <v>116.15196</v>
      </c>
    </row>
    <row r="429" spans="1:11" s="3" customFormat="1" ht="36" customHeight="1" x14ac:dyDescent="0.25">
      <c r="A429" s="1"/>
      <c r="B429" s="183"/>
      <c r="C429" s="178" t="s">
        <v>44</v>
      </c>
      <c r="D429" s="179"/>
      <c r="E429" s="13" t="s">
        <v>25</v>
      </c>
      <c r="F429" s="14">
        <f t="shared" si="20"/>
        <v>118.30889099195501</v>
      </c>
      <c r="G429" s="13" t="s">
        <v>25</v>
      </c>
      <c r="H429" s="14">
        <f>118308.890991955/1000</f>
        <v>118.30889099195501</v>
      </c>
      <c r="I429" s="23">
        <f t="shared" si="23"/>
        <v>123.46875999999999</v>
      </c>
      <c r="J429" s="13" t="s">
        <v>25</v>
      </c>
      <c r="K429" s="39">
        <f>123468.76/1000</f>
        <v>123.46875999999999</v>
      </c>
    </row>
    <row r="430" spans="1:11" s="3" customFormat="1" ht="36" customHeight="1" x14ac:dyDescent="0.25">
      <c r="A430" s="1"/>
      <c r="B430" s="183"/>
      <c r="C430" s="178" t="s">
        <v>147</v>
      </c>
      <c r="D430" s="179"/>
      <c r="E430" s="13" t="s">
        <v>25</v>
      </c>
      <c r="F430" s="14">
        <f t="shared" si="20"/>
        <v>115.905316950828</v>
      </c>
      <c r="G430" s="13" t="s">
        <v>25</v>
      </c>
      <c r="H430" s="14">
        <f>115905.316950828/1000</f>
        <v>115.905316950828</v>
      </c>
      <c r="I430" s="23">
        <f t="shared" si="23"/>
        <v>72.554609999999997</v>
      </c>
      <c r="J430" s="13" t="s">
        <v>25</v>
      </c>
      <c r="K430" s="39">
        <f>72554.61/1000</f>
        <v>72.554609999999997</v>
      </c>
    </row>
    <row r="431" spans="1:11" s="3" customFormat="1" ht="36" customHeight="1" x14ac:dyDescent="0.25">
      <c r="A431" s="1"/>
      <c r="B431" s="183"/>
      <c r="C431" s="163" t="s">
        <v>42</v>
      </c>
      <c r="D431" s="162"/>
      <c r="E431" s="15" t="s">
        <v>25</v>
      </c>
      <c r="F431" s="16">
        <f t="shared" si="20"/>
        <v>-26.941724320040699</v>
      </c>
      <c r="G431" s="15" t="s">
        <v>25</v>
      </c>
      <c r="H431" s="27">
        <f>-26941.7243200407/1000</f>
        <v>-26.941724320040699</v>
      </c>
      <c r="I431" s="25">
        <f t="shared" si="23"/>
        <v>-106.81099</v>
      </c>
      <c r="J431" s="15" t="s">
        <v>25</v>
      </c>
      <c r="K431" s="107">
        <f>-106810.99/1000</f>
        <v>-106.81099</v>
      </c>
    </row>
    <row r="432" spans="1:11" s="3" customFormat="1" ht="36" customHeight="1" x14ac:dyDescent="0.25">
      <c r="A432" s="1"/>
      <c r="B432" s="183"/>
      <c r="C432" s="178" t="s">
        <v>43</v>
      </c>
      <c r="D432" s="179"/>
      <c r="E432" s="13" t="s">
        <v>25</v>
      </c>
      <c r="F432" s="14">
        <f t="shared" si="20"/>
        <v>-107.794776284614</v>
      </c>
      <c r="G432" s="13" t="s">
        <v>25</v>
      </c>
      <c r="H432" s="29">
        <f>-107794.776284614/1000</f>
        <v>-107.794776284614</v>
      </c>
      <c r="I432" s="23">
        <f t="shared" si="23"/>
        <v>-116.15196</v>
      </c>
      <c r="J432" s="13" t="s">
        <v>25</v>
      </c>
      <c r="K432" s="59">
        <f>-116151.96/1000</f>
        <v>-116.15196</v>
      </c>
    </row>
    <row r="433" spans="1:11" s="3" customFormat="1" ht="36" customHeight="1" x14ac:dyDescent="0.25">
      <c r="A433" s="1"/>
      <c r="B433" s="183"/>
      <c r="C433" s="178" t="s">
        <v>44</v>
      </c>
      <c r="D433" s="179"/>
      <c r="E433" s="13" t="s">
        <v>25</v>
      </c>
      <c r="F433" s="14">
        <f t="shared" si="20"/>
        <v>-118.30889099195501</v>
      </c>
      <c r="G433" s="13" t="s">
        <v>25</v>
      </c>
      <c r="H433" s="29">
        <f>-118308.890991955/1000</f>
        <v>-118.30889099195501</v>
      </c>
      <c r="I433" s="23">
        <f t="shared" si="23"/>
        <v>-123.46875999999999</v>
      </c>
      <c r="J433" s="13" t="s">
        <v>25</v>
      </c>
      <c r="K433" s="59">
        <f>-123468.76/1000</f>
        <v>-123.46875999999999</v>
      </c>
    </row>
    <row r="434" spans="1:11" s="3" customFormat="1" ht="36" customHeight="1" thickBot="1" x14ac:dyDescent="0.3">
      <c r="A434" s="1"/>
      <c r="B434" s="183"/>
      <c r="C434" s="178" t="s">
        <v>147</v>
      </c>
      <c r="D434" s="179"/>
      <c r="E434" s="13" t="s">
        <v>25</v>
      </c>
      <c r="F434" s="14">
        <f t="shared" si="20"/>
        <v>-115.905316950828</v>
      </c>
      <c r="G434" s="13" t="s">
        <v>25</v>
      </c>
      <c r="H434" s="29">
        <f>-115905.316950828/1000</f>
        <v>-115.905316950828</v>
      </c>
      <c r="I434" s="23">
        <f t="shared" si="23"/>
        <v>-72.554609999999997</v>
      </c>
      <c r="J434" s="13" t="s">
        <v>25</v>
      </c>
      <c r="K434" s="59">
        <f>-72554.61/1000</f>
        <v>-72.554609999999997</v>
      </c>
    </row>
    <row r="435" spans="1:11" s="3" customFormat="1" ht="45.75" customHeight="1" x14ac:dyDescent="0.25">
      <c r="A435" s="1"/>
      <c r="B435" s="182" t="s">
        <v>400</v>
      </c>
      <c r="C435" s="35" t="s">
        <v>121</v>
      </c>
      <c r="D435" s="60" t="s">
        <v>27</v>
      </c>
      <c r="E435" s="35" t="s">
        <v>25</v>
      </c>
      <c r="F435" s="36">
        <f t="shared" si="20"/>
        <v>1350.5</v>
      </c>
      <c r="G435" s="13" t="s">
        <v>122</v>
      </c>
      <c r="H435" s="61">
        <f>K435</f>
        <v>1350.5</v>
      </c>
      <c r="I435" s="53">
        <f t="shared" si="23"/>
        <v>1350.5</v>
      </c>
      <c r="J435" s="35" t="s">
        <v>123</v>
      </c>
      <c r="K435" s="115">
        <f>1350500/1000</f>
        <v>1350.5</v>
      </c>
    </row>
    <row r="436" spans="1:11" s="3" customFormat="1" ht="45" customHeight="1" x14ac:dyDescent="0.25">
      <c r="A436" s="1"/>
      <c r="B436" s="183"/>
      <c r="C436" s="111" t="s">
        <v>28</v>
      </c>
      <c r="D436" s="13" t="s">
        <v>401</v>
      </c>
      <c r="E436" s="16">
        <v>2079</v>
      </c>
      <c r="F436" s="25">
        <f>SUM(H436)</f>
        <v>0</v>
      </c>
      <c r="G436" s="15" t="s">
        <v>25</v>
      </c>
      <c r="H436" s="79" t="s">
        <v>25</v>
      </c>
      <c r="I436" s="25">
        <f>SUM(K436)</f>
        <v>370.10186700000003</v>
      </c>
      <c r="J436" s="15" t="s">
        <v>37</v>
      </c>
      <c r="K436" s="41">
        <v>370.10186700000003</v>
      </c>
    </row>
    <row r="437" spans="1:11" s="3" customFormat="1" ht="37.5" customHeight="1" x14ac:dyDescent="0.25">
      <c r="A437" s="1"/>
      <c r="B437" s="183"/>
      <c r="C437" s="163" t="s">
        <v>45</v>
      </c>
      <c r="D437" s="162"/>
      <c r="E437" s="15" t="s">
        <v>25</v>
      </c>
      <c r="F437" s="16">
        <f t="shared" si="20"/>
        <v>25.407730000000001</v>
      </c>
      <c r="G437" s="15" t="s">
        <v>25</v>
      </c>
      <c r="H437" s="16">
        <f>25407.73/1000</f>
        <v>25.407730000000001</v>
      </c>
      <c r="I437" s="25">
        <f t="shared" si="23"/>
        <v>81.256240000000005</v>
      </c>
      <c r="J437" s="15" t="s">
        <v>25</v>
      </c>
      <c r="K437" s="41">
        <f>81256.24/1000</f>
        <v>81.256240000000005</v>
      </c>
    </row>
    <row r="438" spans="1:11" s="3" customFormat="1" ht="37.5" customHeight="1" thickBot="1" x14ac:dyDescent="0.3">
      <c r="A438" s="1"/>
      <c r="B438" s="183"/>
      <c r="C438" s="184" t="s">
        <v>45</v>
      </c>
      <c r="D438" s="177"/>
      <c r="E438" s="116" t="s">
        <v>25</v>
      </c>
      <c r="F438" s="38">
        <f t="shared" si="20"/>
        <v>-25.407730000000001</v>
      </c>
      <c r="G438" s="116" t="s">
        <v>25</v>
      </c>
      <c r="H438" s="117">
        <f>-25407.73/1000</f>
        <v>-25.407730000000001</v>
      </c>
      <c r="I438" s="118">
        <f t="shared" si="23"/>
        <v>-81.256240000000005</v>
      </c>
      <c r="J438" s="116" t="s">
        <v>25</v>
      </c>
      <c r="K438" s="119">
        <f>-81256.24/1000</f>
        <v>-81.256240000000005</v>
      </c>
    </row>
    <row r="439" spans="1:11" s="3" customFormat="1" ht="42.75" customHeight="1" x14ac:dyDescent="0.25">
      <c r="A439" s="1"/>
      <c r="B439" s="182" t="s">
        <v>402</v>
      </c>
      <c r="C439" s="159" t="s">
        <v>121</v>
      </c>
      <c r="D439" s="161" t="s">
        <v>27</v>
      </c>
      <c r="E439" s="159" t="s">
        <v>25</v>
      </c>
      <c r="F439" s="151">
        <f>H439+H440</f>
        <v>1057</v>
      </c>
      <c r="G439" s="35" t="s">
        <v>122</v>
      </c>
      <c r="H439" s="58">
        <f>500928.81/1000</f>
        <v>500.92881</v>
      </c>
      <c r="I439" s="172">
        <f t="shared" si="23"/>
        <v>1057</v>
      </c>
      <c r="J439" s="159" t="s">
        <v>123</v>
      </c>
      <c r="K439" s="180">
        <f>1057000/1000</f>
        <v>1057</v>
      </c>
    </row>
    <row r="440" spans="1:11" s="3" customFormat="1" ht="37.5" customHeight="1" x14ac:dyDescent="0.25">
      <c r="A440" s="1"/>
      <c r="B440" s="183"/>
      <c r="C440" s="160"/>
      <c r="D440" s="162"/>
      <c r="E440" s="160"/>
      <c r="F440" s="152"/>
      <c r="G440" s="15" t="s">
        <v>403</v>
      </c>
      <c r="H440" s="79">
        <f>556071.19/1000</f>
        <v>556.07118999999989</v>
      </c>
      <c r="I440" s="174"/>
      <c r="J440" s="160" t="s">
        <v>123</v>
      </c>
      <c r="K440" s="181"/>
    </row>
    <row r="441" spans="1:11" s="3" customFormat="1" ht="45" customHeight="1" x14ac:dyDescent="0.25">
      <c r="A441" s="1"/>
      <c r="B441" s="183"/>
      <c r="C441" s="111" t="s">
        <v>28</v>
      </c>
      <c r="D441" s="13" t="s">
        <v>404</v>
      </c>
      <c r="E441" s="16">
        <v>1986</v>
      </c>
      <c r="F441" s="25">
        <f>SUM(H441)</f>
        <v>0</v>
      </c>
      <c r="G441" s="15" t="s">
        <v>25</v>
      </c>
      <c r="H441" s="79" t="s">
        <v>25</v>
      </c>
      <c r="I441" s="25">
        <f>SUM(K441)</f>
        <v>1986.0000030000001</v>
      </c>
      <c r="J441" s="15" t="s">
        <v>37</v>
      </c>
      <c r="K441" s="41">
        <v>1986.0000030000001</v>
      </c>
    </row>
    <row r="442" spans="1:11" s="3" customFormat="1" ht="37.5" customHeight="1" x14ac:dyDescent="0.25">
      <c r="A442" s="1"/>
      <c r="B442" s="183"/>
      <c r="C442" s="163" t="s">
        <v>45</v>
      </c>
      <c r="D442" s="162"/>
      <c r="E442" s="15" t="s">
        <v>25</v>
      </c>
      <c r="F442" s="16">
        <f>H442</f>
        <v>22.811181338512402</v>
      </c>
      <c r="G442" s="15" t="s">
        <v>25</v>
      </c>
      <c r="H442" s="16">
        <f>22811.1813385124/1000</f>
        <v>22.811181338512402</v>
      </c>
      <c r="I442" s="25">
        <f>K442</f>
        <v>74.06129</v>
      </c>
      <c r="J442" s="15" t="s">
        <v>25</v>
      </c>
      <c r="K442" s="41">
        <v>74.06129</v>
      </c>
    </row>
    <row r="443" spans="1:11" s="3" customFormat="1" ht="37.5" customHeight="1" thickBot="1" x14ac:dyDescent="0.3">
      <c r="A443" s="1"/>
      <c r="B443" s="185"/>
      <c r="C443" s="164" t="s">
        <v>45</v>
      </c>
      <c r="D443" s="165"/>
      <c r="E443" s="43" t="s">
        <v>25</v>
      </c>
      <c r="F443" s="44">
        <f t="shared" si="20"/>
        <v>-22.811181338512402</v>
      </c>
      <c r="G443" s="43" t="s">
        <v>25</v>
      </c>
      <c r="H443" s="120">
        <f>-22811.1813385124/1000</f>
        <v>-22.811181338512402</v>
      </c>
      <c r="I443" s="45">
        <f t="shared" si="23"/>
        <v>-74.06129</v>
      </c>
      <c r="J443" s="43" t="s">
        <v>25</v>
      </c>
      <c r="K443" s="121">
        <v>-74.06129</v>
      </c>
    </row>
    <row r="444" spans="1:11" s="3" customFormat="1" ht="45" customHeight="1" x14ac:dyDescent="0.25">
      <c r="A444" s="1"/>
      <c r="B444" s="158" t="s">
        <v>405</v>
      </c>
      <c r="C444" s="15" t="s">
        <v>21</v>
      </c>
      <c r="D444" s="114" t="s">
        <v>22</v>
      </c>
      <c r="E444" s="16" t="s">
        <v>23</v>
      </c>
      <c r="F444" s="16">
        <f t="shared" si="20"/>
        <v>300</v>
      </c>
      <c r="G444" s="15" t="s">
        <v>406</v>
      </c>
      <c r="H444" s="16">
        <f>300000/1000</f>
        <v>300</v>
      </c>
      <c r="I444" s="25" t="str">
        <f>K444</f>
        <v>__</v>
      </c>
      <c r="J444" s="16" t="s">
        <v>25</v>
      </c>
      <c r="K444" s="22" t="s">
        <v>25</v>
      </c>
    </row>
    <row r="445" spans="1:11" s="3" customFormat="1" ht="30" x14ac:dyDescent="0.25">
      <c r="A445" s="1"/>
      <c r="B445" s="158"/>
      <c r="C445" s="175" t="s">
        <v>151</v>
      </c>
      <c r="D445" s="176" t="s">
        <v>407</v>
      </c>
      <c r="E445" s="166">
        <f>13044711.21/1000</f>
        <v>13044.711210000001</v>
      </c>
      <c r="F445" s="166">
        <f>SUM(H445:H452)</f>
        <v>9768.7071800000012</v>
      </c>
      <c r="G445" s="13" t="s">
        <v>408</v>
      </c>
      <c r="H445" s="14">
        <f>329862.89/1000</f>
        <v>329.86288999999999</v>
      </c>
      <c r="I445" s="166">
        <f>SUM(K445:K452)</f>
        <v>0</v>
      </c>
      <c r="J445" s="13" t="s">
        <v>25</v>
      </c>
      <c r="K445" s="19" t="s">
        <v>25</v>
      </c>
    </row>
    <row r="446" spans="1:11" s="3" customFormat="1" ht="30" x14ac:dyDescent="0.25">
      <c r="A446" s="1"/>
      <c r="B446" s="158"/>
      <c r="C446" s="175"/>
      <c r="D446" s="177"/>
      <c r="E446" s="171"/>
      <c r="F446" s="171"/>
      <c r="G446" s="15" t="s">
        <v>409</v>
      </c>
      <c r="H446" s="16">
        <f>4059322.16/1000</f>
        <v>4059.3221600000002</v>
      </c>
      <c r="I446" s="171"/>
      <c r="J446" s="16" t="s">
        <v>25</v>
      </c>
      <c r="K446" s="22" t="s">
        <v>25</v>
      </c>
    </row>
    <row r="447" spans="1:11" ht="30" x14ac:dyDescent="0.25">
      <c r="A447" s="1"/>
      <c r="B447" s="158"/>
      <c r="C447" s="175"/>
      <c r="D447" s="177"/>
      <c r="E447" s="171"/>
      <c r="F447" s="171"/>
      <c r="G447" s="15" t="s">
        <v>410</v>
      </c>
      <c r="H447" s="16">
        <f>1127100.98/1000</f>
        <v>1127.1009799999999</v>
      </c>
      <c r="I447" s="171"/>
      <c r="J447" s="16" t="s">
        <v>25</v>
      </c>
      <c r="K447" s="22" t="s">
        <v>25</v>
      </c>
    </row>
    <row r="448" spans="1:11" ht="30" x14ac:dyDescent="0.25">
      <c r="A448" s="1"/>
      <c r="B448" s="158"/>
      <c r="C448" s="175"/>
      <c r="D448" s="177"/>
      <c r="E448" s="171"/>
      <c r="F448" s="171"/>
      <c r="G448" s="15" t="s">
        <v>411</v>
      </c>
      <c r="H448" s="16">
        <f>1590556.58/1000</f>
        <v>1590.5565800000002</v>
      </c>
      <c r="I448" s="171"/>
      <c r="J448" s="16" t="s">
        <v>25</v>
      </c>
      <c r="K448" s="22" t="s">
        <v>25</v>
      </c>
    </row>
    <row r="449" spans="1:11" ht="30" x14ac:dyDescent="0.25">
      <c r="A449" s="1"/>
      <c r="B449" s="158"/>
      <c r="C449" s="175"/>
      <c r="D449" s="177"/>
      <c r="E449" s="171"/>
      <c r="F449" s="171"/>
      <c r="G449" s="15" t="s">
        <v>412</v>
      </c>
      <c r="H449" s="16">
        <f>2661864.57/1000</f>
        <v>2661.8645699999997</v>
      </c>
      <c r="I449" s="171"/>
      <c r="J449" s="16" t="s">
        <v>25</v>
      </c>
      <c r="K449" s="22" t="s">
        <v>25</v>
      </c>
    </row>
    <row r="450" spans="1:11" hidden="1" x14ac:dyDescent="0.25">
      <c r="A450" s="1"/>
      <c r="B450" s="158"/>
      <c r="C450" s="175"/>
      <c r="D450" s="177"/>
      <c r="E450" s="171"/>
      <c r="F450" s="171"/>
      <c r="G450" s="15"/>
      <c r="H450" s="16"/>
      <c r="I450" s="171"/>
      <c r="J450" s="16"/>
      <c r="K450" s="22"/>
    </row>
    <row r="451" spans="1:11" hidden="1" x14ac:dyDescent="0.25">
      <c r="A451" s="1"/>
      <c r="B451" s="158"/>
      <c r="C451" s="175"/>
      <c r="D451" s="177"/>
      <c r="E451" s="171"/>
      <c r="F451" s="171"/>
      <c r="G451" s="15"/>
      <c r="H451" s="16"/>
      <c r="I451" s="171"/>
      <c r="J451" s="16"/>
      <c r="K451" s="22"/>
    </row>
    <row r="452" spans="1:11" ht="31.5" hidden="1" customHeight="1" x14ac:dyDescent="0.25">
      <c r="A452" s="1"/>
      <c r="B452" s="158"/>
      <c r="C452" s="175"/>
      <c r="D452" s="162"/>
      <c r="E452" s="152"/>
      <c r="F452" s="152"/>
      <c r="G452" s="15"/>
      <c r="H452" s="16"/>
      <c r="I452" s="152"/>
      <c r="J452" s="16"/>
      <c r="K452" s="22"/>
    </row>
    <row r="453" spans="1:11" ht="32.25" customHeight="1" x14ac:dyDescent="0.25">
      <c r="A453" s="1"/>
      <c r="B453" s="158"/>
      <c r="C453" s="178" t="s">
        <v>40</v>
      </c>
      <c r="D453" s="179"/>
      <c r="E453" s="13" t="s">
        <v>25</v>
      </c>
      <c r="F453" s="14">
        <f t="shared" ref="F453:F458" si="24">H453</f>
        <v>144.03385832828801</v>
      </c>
      <c r="G453" s="13" t="s">
        <v>25</v>
      </c>
      <c r="H453" s="14">
        <f>144033.858328288/1000</f>
        <v>144.03385832828801</v>
      </c>
      <c r="I453" s="14">
        <f t="shared" ref="I453:I458" si="25">K453</f>
        <v>0</v>
      </c>
      <c r="J453" s="13" t="s">
        <v>25</v>
      </c>
      <c r="K453" s="19">
        <v>0</v>
      </c>
    </row>
    <row r="454" spans="1:11" ht="32.25" customHeight="1" thickBot="1" x14ac:dyDescent="0.3">
      <c r="A454" s="1"/>
      <c r="B454" s="158"/>
      <c r="C454" s="178" t="s">
        <v>40</v>
      </c>
      <c r="D454" s="179"/>
      <c r="E454" s="13" t="s">
        <v>25</v>
      </c>
      <c r="F454" s="16">
        <f t="shared" si="24"/>
        <v>-144.03385832828801</v>
      </c>
      <c r="G454" s="15" t="s">
        <v>25</v>
      </c>
      <c r="H454" s="27">
        <f>-144033.858328288/1000</f>
        <v>-144.03385832828801</v>
      </c>
      <c r="I454" s="16">
        <f t="shared" si="25"/>
        <v>0</v>
      </c>
      <c r="J454" s="15" t="s">
        <v>25</v>
      </c>
      <c r="K454" s="28">
        <v>0</v>
      </c>
    </row>
    <row r="455" spans="1:11" ht="45" customHeight="1" x14ac:dyDescent="0.25">
      <c r="A455" s="1"/>
      <c r="B455" s="156" t="s">
        <v>413</v>
      </c>
      <c r="C455" s="35" t="s">
        <v>414</v>
      </c>
      <c r="D455" s="60" t="s">
        <v>415</v>
      </c>
      <c r="E455" s="36">
        <v>1984</v>
      </c>
      <c r="F455" s="36" t="str">
        <f t="shared" si="24"/>
        <v>__</v>
      </c>
      <c r="G455" s="35" t="s">
        <v>25</v>
      </c>
      <c r="H455" s="58" t="s">
        <v>25</v>
      </c>
      <c r="I455" s="53" t="str">
        <f t="shared" si="25"/>
        <v>__</v>
      </c>
      <c r="J455" s="35" t="s">
        <v>25</v>
      </c>
      <c r="K455" s="115" t="s">
        <v>25</v>
      </c>
    </row>
    <row r="456" spans="1:11" ht="48" customHeight="1" thickBot="1" x14ac:dyDescent="0.3">
      <c r="A456" s="1"/>
      <c r="B456" s="157"/>
      <c r="C456" s="43" t="s">
        <v>121</v>
      </c>
      <c r="D456" s="71" t="s">
        <v>27</v>
      </c>
      <c r="E456" s="43" t="s">
        <v>25</v>
      </c>
      <c r="F456" s="44" t="str">
        <f t="shared" si="24"/>
        <v>__</v>
      </c>
      <c r="G456" s="43" t="s">
        <v>25</v>
      </c>
      <c r="H456" s="72" t="s">
        <v>25</v>
      </c>
      <c r="I456" s="45">
        <f t="shared" si="25"/>
        <v>5.8833973999999998</v>
      </c>
      <c r="J456" s="44" t="s">
        <v>416</v>
      </c>
      <c r="K456" s="73">
        <v>5.8833973999999998</v>
      </c>
    </row>
    <row r="457" spans="1:11" ht="45" customHeight="1" x14ac:dyDescent="0.25">
      <c r="A457" s="1"/>
      <c r="B457" s="156" t="s">
        <v>417</v>
      </c>
      <c r="C457" s="35" t="s">
        <v>418</v>
      </c>
      <c r="D457" s="60" t="s">
        <v>419</v>
      </c>
      <c r="E457" s="36">
        <v>118900</v>
      </c>
      <c r="F457" s="36" t="str">
        <f t="shared" si="24"/>
        <v>__</v>
      </c>
      <c r="G457" s="35" t="s">
        <v>25</v>
      </c>
      <c r="H457" s="58" t="s">
        <v>25</v>
      </c>
      <c r="I457" s="36">
        <f t="shared" si="25"/>
        <v>4208.9962800000003</v>
      </c>
      <c r="J457" s="35" t="s">
        <v>420</v>
      </c>
      <c r="K457" s="115">
        <v>4208.9962800000003</v>
      </c>
    </row>
    <row r="458" spans="1:11" ht="42.75" customHeight="1" thickBot="1" x14ac:dyDescent="0.3">
      <c r="A458" s="1"/>
      <c r="B458" s="157"/>
      <c r="C458" s="43" t="s">
        <v>121</v>
      </c>
      <c r="D458" s="71" t="s">
        <v>27</v>
      </c>
      <c r="E458" s="43" t="s">
        <v>25</v>
      </c>
      <c r="F458" s="44">
        <f t="shared" si="24"/>
        <v>558.69600419999995</v>
      </c>
      <c r="G458" s="13" t="s">
        <v>38</v>
      </c>
      <c r="H458" s="72">
        <v>558.69600419999995</v>
      </c>
      <c r="I458" s="45">
        <f t="shared" si="25"/>
        <v>558.69600000000355</v>
      </c>
      <c r="J458" s="44" t="s">
        <v>39</v>
      </c>
      <c r="K458" s="73">
        <v>558.69600000000355</v>
      </c>
    </row>
    <row r="459" spans="1:11" ht="36.75" customHeight="1" x14ac:dyDescent="0.25">
      <c r="A459" s="1"/>
      <c r="B459" s="156" t="s">
        <v>421</v>
      </c>
      <c r="C459" s="159" t="s">
        <v>422</v>
      </c>
      <c r="D459" s="159" t="s">
        <v>423</v>
      </c>
      <c r="E459" s="151">
        <v>7619.37</v>
      </c>
      <c r="F459" s="151">
        <f>SUM(H459:H464)</f>
        <v>0</v>
      </c>
      <c r="G459" s="35" t="s">
        <v>25</v>
      </c>
      <c r="H459" s="58" t="s">
        <v>25</v>
      </c>
      <c r="I459" s="151">
        <f>SUM(K459:K464)</f>
        <v>847.99418519999972</v>
      </c>
      <c r="J459" s="35" t="s">
        <v>235</v>
      </c>
      <c r="K459" s="115">
        <f>404098.98*1.18/1000</f>
        <v>476.83679639999991</v>
      </c>
    </row>
    <row r="460" spans="1:11" ht="36.75" customHeight="1" x14ac:dyDescent="0.25">
      <c r="A460" s="1"/>
      <c r="B460" s="158"/>
      <c r="C460" s="170"/>
      <c r="D460" s="170"/>
      <c r="E460" s="171"/>
      <c r="F460" s="171"/>
      <c r="G460" s="15" t="s">
        <v>25</v>
      </c>
      <c r="H460" s="79" t="s">
        <v>25</v>
      </c>
      <c r="I460" s="171"/>
      <c r="J460" s="15" t="s">
        <v>424</v>
      </c>
      <c r="K460" s="122">
        <f>94991.96*1.18/1000</f>
        <v>112.0905128</v>
      </c>
    </row>
    <row r="461" spans="1:11" ht="45" customHeight="1" x14ac:dyDescent="0.25">
      <c r="A461" s="1"/>
      <c r="B461" s="158"/>
      <c r="C461" s="170"/>
      <c r="D461" s="170"/>
      <c r="E461" s="171"/>
      <c r="F461" s="171"/>
      <c r="G461" s="15"/>
      <c r="H461" s="79"/>
      <c r="I461" s="171"/>
      <c r="J461" s="123" t="s">
        <v>425</v>
      </c>
      <c r="K461" s="124">
        <f>51278.98*1.18/1000</f>
        <v>60.5091964</v>
      </c>
    </row>
    <row r="462" spans="1:11" ht="36.75" customHeight="1" x14ac:dyDescent="0.25">
      <c r="A462" s="1"/>
      <c r="B462" s="158"/>
      <c r="C462" s="170"/>
      <c r="D462" s="170"/>
      <c r="E462" s="171"/>
      <c r="F462" s="171"/>
      <c r="G462" s="13" t="s">
        <v>25</v>
      </c>
      <c r="H462" s="14" t="s">
        <v>25</v>
      </c>
      <c r="I462" s="171"/>
      <c r="J462" s="167" t="s">
        <v>426</v>
      </c>
      <c r="K462" s="125">
        <v>9.388233399999999</v>
      </c>
    </row>
    <row r="463" spans="1:11" ht="36.75" customHeight="1" x14ac:dyDescent="0.25">
      <c r="A463" s="1"/>
      <c r="B463" s="158"/>
      <c r="C463" s="170"/>
      <c r="D463" s="170"/>
      <c r="E463" s="152"/>
      <c r="F463" s="171"/>
      <c r="G463" s="15" t="s">
        <v>25</v>
      </c>
      <c r="H463" s="79" t="s">
        <v>25</v>
      </c>
      <c r="I463" s="171"/>
      <c r="J463" s="160"/>
      <c r="K463" s="122">
        <v>189.16944619999998</v>
      </c>
    </row>
    <row r="464" spans="1:11" ht="36.75" hidden="1" customHeight="1" x14ac:dyDescent="0.25">
      <c r="A464" s="1"/>
      <c r="B464" s="158"/>
      <c r="C464" s="160"/>
      <c r="D464" s="160"/>
      <c r="E464" s="16"/>
      <c r="F464" s="152"/>
      <c r="G464" s="15"/>
      <c r="H464" s="79"/>
      <c r="I464" s="152"/>
      <c r="J464" s="15"/>
      <c r="K464" s="122"/>
    </row>
    <row r="465" spans="1:11" ht="42.75" customHeight="1" thickBot="1" x14ac:dyDescent="0.3">
      <c r="A465" s="1"/>
      <c r="B465" s="157"/>
      <c r="C465" s="66" t="s">
        <v>121</v>
      </c>
      <c r="D465" s="109" t="s">
        <v>27</v>
      </c>
      <c r="E465" s="66" t="s">
        <v>25</v>
      </c>
      <c r="F465" s="52">
        <f>H465</f>
        <v>292.7815056</v>
      </c>
      <c r="G465" s="66" t="s">
        <v>38</v>
      </c>
      <c r="H465" s="126">
        <v>292.7815056</v>
      </c>
      <c r="I465" s="68">
        <f>K465</f>
        <v>292.7815056</v>
      </c>
      <c r="J465" s="52" t="s">
        <v>39</v>
      </c>
      <c r="K465" s="73">
        <f>248119.92/1000*1.18</f>
        <v>292.7815056</v>
      </c>
    </row>
    <row r="466" spans="1:11" ht="45" customHeight="1" x14ac:dyDescent="0.25">
      <c r="A466" s="1"/>
      <c r="B466" s="156" t="s">
        <v>427</v>
      </c>
      <c r="C466" s="159" t="s">
        <v>428</v>
      </c>
      <c r="D466" s="159" t="s">
        <v>429</v>
      </c>
      <c r="E466" s="151">
        <v>6769.35</v>
      </c>
      <c r="F466" s="172">
        <f>SUM(H466:H469)</f>
        <v>0</v>
      </c>
      <c r="G466" s="35" t="s">
        <v>25</v>
      </c>
      <c r="H466" s="58" t="s">
        <v>25</v>
      </c>
      <c r="I466" s="172">
        <f>SUM(K466:K469)</f>
        <v>776.61301160000005</v>
      </c>
      <c r="J466" s="35" t="s">
        <v>235</v>
      </c>
      <c r="K466" s="115">
        <f>61921.33*1.18/1000</f>
        <v>73.067169399999997</v>
      </c>
    </row>
    <row r="467" spans="1:11" ht="45" customHeight="1" x14ac:dyDescent="0.25">
      <c r="A467" s="1"/>
      <c r="B467" s="158"/>
      <c r="C467" s="170"/>
      <c r="D467" s="170"/>
      <c r="E467" s="171"/>
      <c r="F467" s="173"/>
      <c r="G467" s="15"/>
      <c r="H467" s="79"/>
      <c r="I467" s="173"/>
      <c r="J467" s="123" t="s">
        <v>425</v>
      </c>
      <c r="K467" s="124">
        <f>5438.62*1.18/1000</f>
        <v>6.4175715999999996</v>
      </c>
    </row>
    <row r="468" spans="1:11" ht="45" customHeight="1" x14ac:dyDescent="0.25">
      <c r="A468" s="1"/>
      <c r="B468" s="158"/>
      <c r="C468" s="170"/>
      <c r="D468" s="170"/>
      <c r="E468" s="171"/>
      <c r="F468" s="173"/>
      <c r="G468" s="15" t="s">
        <v>25</v>
      </c>
      <c r="H468" s="79" t="s">
        <v>25</v>
      </c>
      <c r="I468" s="173"/>
      <c r="J468" s="15" t="s">
        <v>430</v>
      </c>
      <c r="K468" s="122">
        <v>175.97498119999997</v>
      </c>
    </row>
    <row r="469" spans="1:11" ht="45" customHeight="1" x14ac:dyDescent="0.25">
      <c r="A469" s="1"/>
      <c r="B469" s="158"/>
      <c r="C469" s="160"/>
      <c r="D469" s="160"/>
      <c r="E469" s="152"/>
      <c r="F469" s="174"/>
      <c r="G469" s="15" t="s">
        <v>25</v>
      </c>
      <c r="H469" s="79" t="s">
        <v>25</v>
      </c>
      <c r="I469" s="174"/>
      <c r="J469" s="15" t="s">
        <v>426</v>
      </c>
      <c r="K469" s="122">
        <v>521.15328940000006</v>
      </c>
    </row>
    <row r="470" spans="1:11" ht="42.75" customHeight="1" thickBot="1" x14ac:dyDescent="0.3">
      <c r="A470" s="1"/>
      <c r="B470" s="157"/>
      <c r="C470" s="43" t="s">
        <v>121</v>
      </c>
      <c r="D470" s="71" t="s">
        <v>27</v>
      </c>
      <c r="E470" s="43" t="s">
        <v>25</v>
      </c>
      <c r="F470" s="44">
        <f>H470</f>
        <v>273.049286</v>
      </c>
      <c r="G470" s="13" t="s">
        <v>38</v>
      </c>
      <c r="H470" s="72">
        <f>231397.7*1.18/1000</f>
        <v>273.049286</v>
      </c>
      <c r="I470" s="45">
        <f>K470</f>
        <v>273.049286</v>
      </c>
      <c r="J470" s="44" t="s">
        <v>39</v>
      </c>
      <c r="K470" s="73">
        <f>231397.7*1.18/1000</f>
        <v>273.049286</v>
      </c>
    </row>
    <row r="471" spans="1:11" ht="34.5" customHeight="1" x14ac:dyDescent="0.25">
      <c r="A471" s="1"/>
      <c r="B471" s="156" t="s">
        <v>431</v>
      </c>
      <c r="C471" s="159" t="s">
        <v>310</v>
      </c>
      <c r="D471" s="159" t="s">
        <v>432</v>
      </c>
      <c r="E471" s="151">
        <f>12730535.39/1000</f>
        <v>12730.535390000001</v>
      </c>
      <c r="F471" s="151">
        <f>SUM(H471:H476)</f>
        <v>10910.70903</v>
      </c>
      <c r="G471" s="35" t="s">
        <v>433</v>
      </c>
      <c r="H471" s="36">
        <v>4598.3872099999999</v>
      </c>
      <c r="I471" s="151">
        <f>SUM(K471:K476)</f>
        <v>14294.868229799999</v>
      </c>
      <c r="J471" s="36" t="s">
        <v>434</v>
      </c>
      <c r="K471" s="37">
        <v>4598.3872057999997</v>
      </c>
    </row>
    <row r="472" spans="1:11" ht="34.5" customHeight="1" x14ac:dyDescent="0.25">
      <c r="A472" s="1"/>
      <c r="B472" s="158"/>
      <c r="C472" s="170"/>
      <c r="D472" s="170"/>
      <c r="E472" s="171"/>
      <c r="F472" s="171"/>
      <c r="G472" s="15" t="s">
        <v>435</v>
      </c>
      <c r="H472" s="16">
        <v>6312.3218200000001</v>
      </c>
      <c r="I472" s="171"/>
      <c r="J472" s="16" t="s">
        <v>436</v>
      </c>
      <c r="K472" s="22">
        <v>6312.3218186000004</v>
      </c>
    </row>
    <row r="473" spans="1:11" ht="34.5" customHeight="1" x14ac:dyDescent="0.25">
      <c r="A473" s="1"/>
      <c r="B473" s="158"/>
      <c r="C473" s="170"/>
      <c r="D473" s="170"/>
      <c r="E473" s="171"/>
      <c r="F473" s="171"/>
      <c r="G473" s="15" t="s">
        <v>25</v>
      </c>
      <c r="H473" s="79" t="s">
        <v>25</v>
      </c>
      <c r="I473" s="171"/>
      <c r="J473" s="16" t="s">
        <v>424</v>
      </c>
      <c r="K473" s="22">
        <v>3384.1592053999998</v>
      </c>
    </row>
    <row r="474" spans="1:11" ht="34.5" hidden="1" customHeight="1" x14ac:dyDescent="0.25">
      <c r="A474" s="1"/>
      <c r="B474" s="158"/>
      <c r="C474" s="170"/>
      <c r="D474" s="170"/>
      <c r="E474" s="171"/>
      <c r="F474" s="171"/>
      <c r="G474" s="15"/>
      <c r="H474" s="79"/>
      <c r="I474" s="171"/>
      <c r="J474" s="16"/>
      <c r="K474" s="108"/>
    </row>
    <row r="475" spans="1:11" ht="34.5" hidden="1" customHeight="1" x14ac:dyDescent="0.25">
      <c r="A475" s="1"/>
      <c r="B475" s="158"/>
      <c r="C475" s="170"/>
      <c r="D475" s="170"/>
      <c r="E475" s="171"/>
      <c r="F475" s="171"/>
      <c r="G475" s="15"/>
      <c r="H475" s="79"/>
      <c r="I475" s="171"/>
      <c r="J475" s="16"/>
      <c r="K475" s="108"/>
    </row>
    <row r="476" spans="1:11" ht="34.5" hidden="1" customHeight="1" x14ac:dyDescent="0.25">
      <c r="A476" s="1"/>
      <c r="B476" s="158"/>
      <c r="C476" s="160"/>
      <c r="D476" s="160"/>
      <c r="E476" s="152"/>
      <c r="F476" s="152"/>
      <c r="G476" s="15"/>
      <c r="H476" s="79"/>
      <c r="I476" s="152"/>
      <c r="J476" s="16"/>
      <c r="K476" s="108"/>
    </row>
    <row r="477" spans="1:11" ht="34.5" customHeight="1" x14ac:dyDescent="0.25">
      <c r="A477" s="1"/>
      <c r="B477" s="158"/>
      <c r="C477" s="167" t="s">
        <v>310</v>
      </c>
      <c r="D477" s="167" t="s">
        <v>437</v>
      </c>
      <c r="E477" s="166">
        <v>19677.026999999998</v>
      </c>
      <c r="F477" s="166">
        <f>SUM(H477:H478)</f>
        <v>12785.674280000001</v>
      </c>
      <c r="G477" s="15" t="s">
        <v>438</v>
      </c>
      <c r="H477" s="79">
        <f>5903108.19/1000</f>
        <v>5903.1081900000008</v>
      </c>
      <c r="I477" s="166">
        <f>SUM(K477:K478)</f>
        <v>20533.161733599998</v>
      </c>
      <c r="J477" s="16" t="s">
        <v>439</v>
      </c>
      <c r="K477" s="108">
        <v>7747.4874493999996</v>
      </c>
    </row>
    <row r="478" spans="1:11" ht="34.5" customHeight="1" x14ac:dyDescent="0.25">
      <c r="A478" s="1"/>
      <c r="B478" s="158"/>
      <c r="C478" s="160"/>
      <c r="D478" s="160"/>
      <c r="E478" s="152"/>
      <c r="F478" s="152"/>
      <c r="G478" s="15" t="s">
        <v>440</v>
      </c>
      <c r="H478" s="79">
        <f>6882566.09/1000</f>
        <v>6882.5660900000003</v>
      </c>
      <c r="I478" s="152"/>
      <c r="J478" s="16" t="s">
        <v>441</v>
      </c>
      <c r="K478" s="108">
        <v>12785.674284199999</v>
      </c>
    </row>
    <row r="479" spans="1:11" ht="48" customHeight="1" x14ac:dyDescent="0.25">
      <c r="A479" s="1"/>
      <c r="B479" s="158"/>
      <c r="C479" s="15" t="s">
        <v>428</v>
      </c>
      <c r="D479" s="114" t="s">
        <v>442</v>
      </c>
      <c r="E479" s="16">
        <v>6856.63</v>
      </c>
      <c r="F479" s="16" t="str">
        <f t="shared" ref="F479:F482" si="26">H479</f>
        <v>__</v>
      </c>
      <c r="G479" s="15" t="s">
        <v>25</v>
      </c>
      <c r="H479" s="79" t="s">
        <v>25</v>
      </c>
      <c r="I479" s="25" t="str">
        <f t="shared" ref="I479:I485" si="27">K479</f>
        <v>__</v>
      </c>
      <c r="J479" s="15" t="s">
        <v>25</v>
      </c>
      <c r="K479" s="122" t="s">
        <v>25</v>
      </c>
    </row>
    <row r="480" spans="1:11" ht="42.75" customHeight="1" thickBot="1" x14ac:dyDescent="0.3">
      <c r="A480" s="1"/>
      <c r="B480" s="157"/>
      <c r="C480" s="43" t="s">
        <v>121</v>
      </c>
      <c r="D480" s="71" t="s">
        <v>27</v>
      </c>
      <c r="E480" s="43" t="s">
        <v>25</v>
      </c>
      <c r="F480" s="44">
        <f t="shared" si="26"/>
        <v>95.488738799999993</v>
      </c>
      <c r="G480" s="13" t="s">
        <v>38</v>
      </c>
      <c r="H480" s="72">
        <v>95.488738799999993</v>
      </c>
      <c r="I480" s="45">
        <f t="shared" si="27"/>
        <v>95.489410000000134</v>
      </c>
      <c r="J480" s="44" t="s">
        <v>39</v>
      </c>
      <c r="K480" s="73">
        <v>95.489410000000134</v>
      </c>
    </row>
    <row r="481" spans="1:11" ht="30" customHeight="1" thickBot="1" x14ac:dyDescent="0.3">
      <c r="A481" s="1"/>
      <c r="B481" s="56" t="s">
        <v>443</v>
      </c>
      <c r="C481" s="35" t="s">
        <v>444</v>
      </c>
      <c r="D481" s="60" t="s">
        <v>445</v>
      </c>
      <c r="E481" s="36">
        <v>2639</v>
      </c>
      <c r="F481" s="36">
        <f t="shared" si="26"/>
        <v>2639</v>
      </c>
      <c r="G481" s="35" t="s">
        <v>446</v>
      </c>
      <c r="H481" s="36">
        <f>2639000/1000</f>
        <v>2639</v>
      </c>
      <c r="I481" s="36">
        <f t="shared" si="27"/>
        <v>2639</v>
      </c>
      <c r="J481" s="36" t="s">
        <v>447</v>
      </c>
      <c r="K481" s="37">
        <f>2639000/1000</f>
        <v>2639</v>
      </c>
    </row>
    <row r="482" spans="1:11" ht="48.75" customHeight="1" x14ac:dyDescent="0.25">
      <c r="A482" s="1"/>
      <c r="B482" s="156" t="s">
        <v>448</v>
      </c>
      <c r="C482" s="35" t="s">
        <v>26</v>
      </c>
      <c r="D482" s="60" t="s">
        <v>27</v>
      </c>
      <c r="E482" s="36" t="s">
        <v>25</v>
      </c>
      <c r="F482" s="36">
        <f t="shared" si="26"/>
        <v>218.05027999999999</v>
      </c>
      <c r="G482" s="35" t="s">
        <v>122</v>
      </c>
      <c r="H482" s="36">
        <f>218050.28/1000</f>
        <v>218.05027999999999</v>
      </c>
      <c r="I482" s="36">
        <f t="shared" si="27"/>
        <v>218.05027999999999</v>
      </c>
      <c r="J482" s="36" t="s">
        <v>123</v>
      </c>
      <c r="K482" s="37">
        <v>218.05027999999999</v>
      </c>
    </row>
    <row r="483" spans="1:11" ht="33.75" customHeight="1" x14ac:dyDescent="0.25">
      <c r="A483" s="1"/>
      <c r="B483" s="158"/>
      <c r="C483" s="167" t="s">
        <v>449</v>
      </c>
      <c r="D483" s="167" t="s">
        <v>450</v>
      </c>
      <c r="E483" s="166">
        <v>5063.8999999999996</v>
      </c>
      <c r="F483" s="166">
        <f>SUM(H483:H484)</f>
        <v>0</v>
      </c>
      <c r="G483" s="13" t="s">
        <v>25</v>
      </c>
      <c r="H483" s="14" t="s">
        <v>25</v>
      </c>
      <c r="I483" s="166">
        <f>SUM(K483:K484)</f>
        <v>4169.2383821999993</v>
      </c>
      <c r="J483" s="14" t="s">
        <v>451</v>
      </c>
      <c r="K483" s="19">
        <v>954</v>
      </c>
    </row>
    <row r="484" spans="1:11" ht="33.75" customHeight="1" thickBot="1" x14ac:dyDescent="0.3">
      <c r="A484" s="1"/>
      <c r="B484" s="157"/>
      <c r="C484" s="168"/>
      <c r="D484" s="168"/>
      <c r="E484" s="169"/>
      <c r="F484" s="169"/>
      <c r="G484" s="43" t="s">
        <v>25</v>
      </c>
      <c r="H484" s="44" t="s">
        <v>25</v>
      </c>
      <c r="I484" s="169"/>
      <c r="J484" s="52" t="s">
        <v>452</v>
      </c>
      <c r="K484" s="82">
        <v>3215.2383821999997</v>
      </c>
    </row>
    <row r="485" spans="1:11" s="3" customFormat="1" ht="30" hidden="1" customHeight="1" x14ac:dyDescent="0.25">
      <c r="A485" s="1"/>
      <c r="B485" s="156" t="s">
        <v>453</v>
      </c>
      <c r="C485" s="11" t="s">
        <v>54</v>
      </c>
      <c r="D485" s="11" t="s">
        <v>454</v>
      </c>
      <c r="E485" s="127">
        <f>4150000/1000</f>
        <v>4150</v>
      </c>
      <c r="F485" s="128">
        <f>SUM(H485)</f>
        <v>0</v>
      </c>
      <c r="G485" s="11"/>
      <c r="H485" s="12"/>
      <c r="I485" s="129">
        <f t="shared" si="27"/>
        <v>0</v>
      </c>
      <c r="J485" s="11"/>
      <c r="K485" s="130"/>
    </row>
    <row r="486" spans="1:11" s="3" customFormat="1" ht="37.5" customHeight="1" x14ac:dyDescent="0.25">
      <c r="A486" s="1"/>
      <c r="B486" s="158"/>
      <c r="C486" s="163" t="s">
        <v>45</v>
      </c>
      <c r="D486" s="162"/>
      <c r="E486" s="15" t="s">
        <v>25</v>
      </c>
      <c r="F486" s="16">
        <f t="shared" ref="F486:F492" si="28">H486</f>
        <v>11.21584</v>
      </c>
      <c r="G486" s="15" t="s">
        <v>25</v>
      </c>
      <c r="H486" s="16">
        <f>K486</f>
        <v>11.21584</v>
      </c>
      <c r="I486" s="25">
        <f>K486</f>
        <v>11.21584</v>
      </c>
      <c r="J486" s="15" t="s">
        <v>25</v>
      </c>
      <c r="K486" s="41">
        <v>11.21584</v>
      </c>
    </row>
    <row r="487" spans="1:11" s="3" customFormat="1" ht="37.5" customHeight="1" x14ac:dyDescent="0.25">
      <c r="A487" s="1"/>
      <c r="B487" s="158"/>
      <c r="C487" s="163" t="s">
        <v>58</v>
      </c>
      <c r="D487" s="162"/>
      <c r="E487" s="15" t="s">
        <v>25</v>
      </c>
      <c r="F487" s="16">
        <f t="shared" si="28"/>
        <v>22.43168</v>
      </c>
      <c r="G487" s="15" t="s">
        <v>25</v>
      </c>
      <c r="H487" s="16">
        <f>K487</f>
        <v>22.43168</v>
      </c>
      <c r="I487" s="25">
        <f>K487</f>
        <v>22.43168</v>
      </c>
      <c r="J487" s="15" t="s">
        <v>25</v>
      </c>
      <c r="K487" s="41">
        <f>22431.68/1000</f>
        <v>22.43168</v>
      </c>
    </row>
    <row r="488" spans="1:11" s="3" customFormat="1" ht="37.5" customHeight="1" x14ac:dyDescent="0.25">
      <c r="A488" s="1"/>
      <c r="B488" s="158"/>
      <c r="C488" s="163" t="s">
        <v>59</v>
      </c>
      <c r="D488" s="162"/>
      <c r="E488" s="15" t="s">
        <v>25</v>
      </c>
      <c r="F488" s="16">
        <f t="shared" si="28"/>
        <v>11.21584</v>
      </c>
      <c r="G488" s="15" t="s">
        <v>25</v>
      </c>
      <c r="H488" s="16">
        <f>K488</f>
        <v>11.21584</v>
      </c>
      <c r="I488" s="25">
        <f>K488</f>
        <v>11.21584</v>
      </c>
      <c r="J488" s="15" t="s">
        <v>25</v>
      </c>
      <c r="K488" s="41">
        <f>11215.84/1000</f>
        <v>11.21584</v>
      </c>
    </row>
    <row r="489" spans="1:11" s="3" customFormat="1" ht="37.5" customHeight="1" x14ac:dyDescent="0.25">
      <c r="A489" s="1"/>
      <c r="B489" s="158"/>
      <c r="C489" s="163" t="s">
        <v>61</v>
      </c>
      <c r="D489" s="162"/>
      <c r="E489" s="15" t="s">
        <v>25</v>
      </c>
      <c r="F489" s="16">
        <f t="shared" si="28"/>
        <v>14.44125</v>
      </c>
      <c r="G489" s="15" t="s">
        <v>25</v>
      </c>
      <c r="H489" s="16">
        <f>K489</f>
        <v>14.44125</v>
      </c>
      <c r="I489" s="25">
        <f>K489</f>
        <v>14.44125</v>
      </c>
      <c r="J489" s="15" t="s">
        <v>25</v>
      </c>
      <c r="K489" s="41">
        <f>14441.25/1000</f>
        <v>14.44125</v>
      </c>
    </row>
    <row r="490" spans="1:11" s="3" customFormat="1" ht="37.5" customHeight="1" thickBot="1" x14ac:dyDescent="0.3">
      <c r="A490" s="1"/>
      <c r="B490" s="157"/>
      <c r="C490" s="164" t="s">
        <v>62</v>
      </c>
      <c r="D490" s="165"/>
      <c r="E490" s="15" t="s">
        <v>25</v>
      </c>
      <c r="F490" s="16">
        <f t="shared" si="28"/>
        <v>11.552989999999999</v>
      </c>
      <c r="G490" s="15" t="s">
        <v>25</v>
      </c>
      <c r="H490" s="16">
        <f>K490</f>
        <v>11.552989999999999</v>
      </c>
      <c r="I490" s="25">
        <f t="shared" ref="I490" si="29">K490</f>
        <v>11.552989999999999</v>
      </c>
      <c r="J490" s="15" t="s">
        <v>25</v>
      </c>
      <c r="K490" s="41">
        <f>5776.495*2/1000</f>
        <v>11.552989999999999</v>
      </c>
    </row>
    <row r="491" spans="1:11" s="3" customFormat="1" ht="60.75" hidden="1" customHeight="1" x14ac:dyDescent="0.25">
      <c r="A491" s="1"/>
      <c r="B491" s="156" t="s">
        <v>455</v>
      </c>
      <c r="C491" s="35" t="s">
        <v>456</v>
      </c>
      <c r="D491" s="35" t="s">
        <v>457</v>
      </c>
      <c r="E491" s="36">
        <v>81.283539999999988</v>
      </c>
      <c r="F491" s="36">
        <f t="shared" si="28"/>
        <v>0</v>
      </c>
      <c r="G491" s="35"/>
      <c r="H491" s="36"/>
      <c r="I491" s="36" t="s">
        <v>25</v>
      </c>
      <c r="J491" s="35"/>
      <c r="K491" s="37"/>
    </row>
    <row r="492" spans="1:11" s="3" customFormat="1" ht="45" customHeight="1" thickBot="1" x14ac:dyDescent="0.3">
      <c r="A492" s="1"/>
      <c r="B492" s="157"/>
      <c r="C492" s="66" t="s">
        <v>88</v>
      </c>
      <c r="D492" s="66" t="s">
        <v>458</v>
      </c>
      <c r="E492" s="52" t="str">
        <f>G492</f>
        <v>№2532 от 19.05.2016</v>
      </c>
      <c r="F492" s="52">
        <f t="shared" si="28"/>
        <v>258</v>
      </c>
      <c r="G492" s="44" t="s">
        <v>459</v>
      </c>
      <c r="H492" s="44">
        <f>258000/1000</f>
        <v>258</v>
      </c>
      <c r="I492" s="52">
        <f>K492</f>
        <v>258</v>
      </c>
      <c r="J492" s="44" t="s">
        <v>460</v>
      </c>
      <c r="K492" s="82">
        <f>258000/1000</f>
        <v>258</v>
      </c>
    </row>
    <row r="493" spans="1:11" s="3" customFormat="1" ht="30" hidden="1" x14ac:dyDescent="0.25">
      <c r="A493" s="1"/>
      <c r="B493" s="156" t="s">
        <v>461</v>
      </c>
      <c r="C493" s="35" t="s">
        <v>26</v>
      </c>
      <c r="D493" s="35" t="s">
        <v>27</v>
      </c>
      <c r="E493" s="36" t="s">
        <v>25</v>
      </c>
      <c r="F493" s="36">
        <f>H493</f>
        <v>0</v>
      </c>
      <c r="G493" s="36"/>
      <c r="H493" s="36"/>
      <c r="I493" s="131">
        <f>K493</f>
        <v>0</v>
      </c>
      <c r="J493" s="11"/>
      <c r="K493" s="132"/>
    </row>
    <row r="494" spans="1:11" s="3" customFormat="1" ht="46.5" customHeight="1" thickBot="1" x14ac:dyDescent="0.3">
      <c r="A494" s="1"/>
      <c r="B494" s="158"/>
      <c r="C494" s="13" t="s">
        <v>462</v>
      </c>
      <c r="D494" s="114" t="s">
        <v>463</v>
      </c>
      <c r="E494" s="16">
        <f>155000/1000</f>
        <v>155</v>
      </c>
      <c r="F494" s="14">
        <f>H494</f>
        <v>155</v>
      </c>
      <c r="G494" s="14" t="s">
        <v>464</v>
      </c>
      <c r="H494" s="16">
        <f>155000/1000</f>
        <v>155</v>
      </c>
      <c r="I494" s="23">
        <f>K494</f>
        <v>155</v>
      </c>
      <c r="J494" s="16" t="s">
        <v>465</v>
      </c>
      <c r="K494" s="22">
        <f>155000/1000</f>
        <v>155</v>
      </c>
    </row>
    <row r="495" spans="1:11" s="3" customFormat="1" ht="42.75" customHeight="1" x14ac:dyDescent="0.25">
      <c r="A495" s="1"/>
      <c r="B495" s="156" t="s">
        <v>466</v>
      </c>
      <c r="C495" s="159" t="s">
        <v>88</v>
      </c>
      <c r="D495" s="161" t="s">
        <v>467</v>
      </c>
      <c r="E495" s="151">
        <v>692.40700000000004</v>
      </c>
      <c r="F495" s="151">
        <f>SUM(H495:H496)</f>
        <v>346.20350000000002</v>
      </c>
      <c r="G495" s="35" t="s">
        <v>468</v>
      </c>
      <c r="H495" s="36">
        <v>346.20350000000002</v>
      </c>
      <c r="I495" s="151">
        <f>SUM(K495:K496)</f>
        <v>690.28637099999992</v>
      </c>
      <c r="J495" s="35" t="s">
        <v>469</v>
      </c>
      <c r="K495" s="37">
        <v>408.66150579999999</v>
      </c>
    </row>
    <row r="496" spans="1:11" s="3" customFormat="1" ht="42.75" customHeight="1" thickBot="1" x14ac:dyDescent="0.3">
      <c r="A496" s="1"/>
      <c r="B496" s="158"/>
      <c r="C496" s="160"/>
      <c r="D496" s="162"/>
      <c r="E496" s="152"/>
      <c r="F496" s="152"/>
      <c r="G496" s="116" t="s">
        <v>25</v>
      </c>
      <c r="H496" s="38" t="s">
        <v>25</v>
      </c>
      <c r="I496" s="152"/>
      <c r="J496" s="15" t="s">
        <v>470</v>
      </c>
      <c r="K496" s="102">
        <v>281.62486519999999</v>
      </c>
    </row>
    <row r="497" spans="1:11" s="3" customFormat="1" ht="16.5" customHeight="1" thickBot="1" x14ac:dyDescent="0.3">
      <c r="A497" s="1"/>
      <c r="B497" s="86" t="s">
        <v>471</v>
      </c>
      <c r="C497" s="87"/>
      <c r="D497" s="87"/>
      <c r="E497" s="87"/>
      <c r="F497" s="88">
        <f>SUM(F203:F496)</f>
        <v>244721.84482399997</v>
      </c>
      <c r="G497" s="75"/>
      <c r="H497" s="88">
        <f>SUM(H203:H496)</f>
        <v>244721.844824</v>
      </c>
      <c r="I497" s="88">
        <f>SUM(I203:I496)</f>
        <v>322014.16767240013</v>
      </c>
      <c r="J497" s="75"/>
      <c r="K497" s="89">
        <f>SUM(K203:K496)</f>
        <v>322014.16767240007</v>
      </c>
    </row>
    <row r="498" spans="1:11" s="3" customFormat="1" ht="36.75" customHeight="1" thickBot="1" x14ac:dyDescent="0.3">
      <c r="A498" s="1"/>
      <c r="B498" s="86" t="s">
        <v>472</v>
      </c>
      <c r="C498" s="87"/>
      <c r="D498" s="87"/>
      <c r="E498" s="87"/>
      <c r="F498" s="88">
        <f>H498</f>
        <v>23697.04520652553</v>
      </c>
      <c r="G498" s="74"/>
      <c r="H498" s="88">
        <f>K498</f>
        <v>23697.04520652553</v>
      </c>
      <c r="I498" s="88">
        <f>K498</f>
        <v>23697.04520652553</v>
      </c>
      <c r="J498" s="75"/>
      <c r="K498" s="89">
        <v>23697.04520652553</v>
      </c>
    </row>
    <row r="499" spans="1:11" s="3" customFormat="1" ht="32.25" thickBot="1" x14ac:dyDescent="0.3">
      <c r="A499" s="1"/>
      <c r="B499" s="86" t="s">
        <v>473</v>
      </c>
      <c r="C499" s="87"/>
      <c r="D499" s="87"/>
      <c r="E499" s="87"/>
      <c r="F499" s="88">
        <f>F497+F498</f>
        <v>268418.89003052551</v>
      </c>
      <c r="G499" s="74"/>
      <c r="H499" s="88">
        <f>H497+H498</f>
        <v>268418.89003052551</v>
      </c>
      <c r="I499" s="88">
        <f>I497+I498</f>
        <v>345711.21287892567</v>
      </c>
      <c r="J499" s="75"/>
      <c r="K499" s="89">
        <f>K497+K498</f>
        <v>345711.21287892561</v>
      </c>
    </row>
    <row r="500" spans="1:11" s="3" customFormat="1" ht="48" thickBot="1" x14ac:dyDescent="0.3">
      <c r="A500" s="1"/>
      <c r="B500" s="86" t="s">
        <v>474</v>
      </c>
      <c r="C500" s="87"/>
      <c r="D500" s="87"/>
      <c r="E500" s="87"/>
      <c r="F500" s="88">
        <f>F201+F499</f>
        <v>317435.69960277737</v>
      </c>
      <c r="G500" s="75"/>
      <c r="H500" s="88">
        <f>H201+H499</f>
        <v>317435.69960277737</v>
      </c>
      <c r="I500" s="88">
        <f>I201+I499</f>
        <v>433245.05997037748</v>
      </c>
      <c r="J500" s="75"/>
      <c r="K500" s="89">
        <f>K201+K499</f>
        <v>433245.05997037748</v>
      </c>
    </row>
    <row r="501" spans="1:11" s="3" customFormat="1" ht="15.75" x14ac:dyDescent="0.25">
      <c r="A501" s="1"/>
      <c r="B501" s="84"/>
      <c r="C501" s="84"/>
      <c r="D501" s="84"/>
      <c r="E501" s="84"/>
      <c r="F501" s="133"/>
      <c r="G501" s="134"/>
      <c r="H501" s="133"/>
      <c r="I501" s="133"/>
      <c r="J501" s="134"/>
      <c r="K501" s="133"/>
    </row>
    <row r="502" spans="1:11" s="3" customFormat="1" ht="15.75" x14ac:dyDescent="0.25">
      <c r="A502" s="1"/>
      <c r="B502" s="84"/>
      <c r="C502" s="84"/>
      <c r="D502" s="84"/>
      <c r="E502" s="84"/>
      <c r="F502" s="133"/>
      <c r="G502" s="134"/>
      <c r="H502" s="133"/>
      <c r="I502" s="133"/>
      <c r="J502" s="134"/>
      <c r="K502" s="133"/>
    </row>
    <row r="503" spans="1:11" s="3" customFormat="1" ht="15.75" x14ac:dyDescent="0.25">
      <c r="A503" s="1"/>
      <c r="B503" s="135" t="s">
        <v>475</v>
      </c>
      <c r="C503" s="136"/>
      <c r="D503" s="136"/>
      <c r="E503" s="84"/>
      <c r="F503" s="133"/>
      <c r="G503" s="134"/>
      <c r="H503" s="133"/>
      <c r="I503" s="133"/>
      <c r="J503" s="134"/>
      <c r="K503" s="133"/>
    </row>
    <row r="504" spans="1:11" s="3" customFormat="1" ht="15.75" x14ac:dyDescent="0.25">
      <c r="A504" s="1"/>
      <c r="B504" s="137" t="s">
        <v>476</v>
      </c>
      <c r="C504" s="138"/>
      <c r="D504" s="138"/>
      <c r="E504" s="84"/>
      <c r="F504" s="133"/>
      <c r="G504" s="134"/>
      <c r="H504" s="133"/>
      <c r="I504" s="133"/>
      <c r="J504" s="134"/>
      <c r="K504" s="133"/>
    </row>
    <row r="505" spans="1:11" s="3" customFormat="1" ht="31.5" customHeight="1" x14ac:dyDescent="0.25">
      <c r="A505" s="1"/>
      <c r="B505" s="153" t="s">
        <v>477</v>
      </c>
      <c r="C505" s="153"/>
      <c r="D505" s="153"/>
      <c r="E505" s="84"/>
      <c r="F505" s="133"/>
      <c r="G505" s="134"/>
      <c r="H505" s="133"/>
      <c r="I505" s="133"/>
      <c r="J505" s="134"/>
      <c r="K505" s="133"/>
    </row>
    <row r="506" spans="1:11" s="3" customFormat="1" ht="16.5" thickBot="1" x14ac:dyDescent="0.3">
      <c r="A506" s="1"/>
      <c r="B506" s="138"/>
      <c r="C506" s="138"/>
      <c r="D506" s="138"/>
      <c r="E506" s="84"/>
      <c r="F506" s="133"/>
      <c r="G506" s="134"/>
      <c r="H506" s="133"/>
      <c r="I506" s="133"/>
      <c r="J506" s="134"/>
      <c r="K506" s="133"/>
    </row>
    <row r="507" spans="1:11" s="3" customFormat="1" ht="16.5" thickBot="1" x14ac:dyDescent="0.3">
      <c r="A507" s="1"/>
      <c r="B507" s="139" t="s">
        <v>478</v>
      </c>
      <c r="C507" s="140" t="s">
        <v>479</v>
      </c>
      <c r="D507" s="140" t="s">
        <v>480</v>
      </c>
      <c r="E507" s="84"/>
      <c r="F507" s="133"/>
      <c r="G507" s="134"/>
      <c r="H507" s="133"/>
      <c r="I507" s="133"/>
      <c r="J507" s="134"/>
      <c r="K507" s="133"/>
    </row>
    <row r="508" spans="1:11" s="3" customFormat="1" ht="16.5" thickBot="1" x14ac:dyDescent="0.3">
      <c r="A508" s="1"/>
      <c r="B508" s="141"/>
      <c r="C508" s="142"/>
      <c r="D508" s="142"/>
      <c r="E508" s="84"/>
      <c r="F508" s="133"/>
      <c r="G508" s="134"/>
      <c r="H508" s="133"/>
      <c r="I508" s="133"/>
      <c r="J508" s="134"/>
      <c r="K508" s="133"/>
    </row>
    <row r="509" spans="1:11" s="3" customFormat="1" ht="60.75" thickBot="1" x14ac:dyDescent="0.3">
      <c r="A509" s="1"/>
      <c r="B509" s="143" t="s">
        <v>481</v>
      </c>
      <c r="C509" s="144">
        <v>433245.06</v>
      </c>
      <c r="D509" s="144">
        <v>317435.7</v>
      </c>
      <c r="E509" s="84"/>
      <c r="F509" s="133"/>
      <c r="G509" s="134"/>
      <c r="H509" s="133"/>
      <c r="I509" s="133"/>
      <c r="J509" s="134"/>
      <c r="K509" s="133"/>
    </row>
    <row r="510" spans="1:11" s="3" customFormat="1" ht="16.5" thickBot="1" x14ac:dyDescent="0.3">
      <c r="A510" s="1"/>
      <c r="B510" s="143" t="s">
        <v>482</v>
      </c>
      <c r="C510" s="144">
        <v>300346.45</v>
      </c>
      <c r="D510" s="144">
        <v>300346.45</v>
      </c>
      <c r="E510" s="84"/>
      <c r="F510" s="133"/>
      <c r="G510" s="134"/>
      <c r="H510" s="133"/>
      <c r="I510" s="133"/>
      <c r="J510" s="134"/>
      <c r="K510" s="133"/>
    </row>
    <row r="511" spans="1:11" s="3" customFormat="1" ht="16.5" thickBot="1" x14ac:dyDescent="0.3">
      <c r="A511" s="1"/>
      <c r="B511" s="143" t="s">
        <v>483</v>
      </c>
      <c r="C511" s="144">
        <v>111055.55</v>
      </c>
      <c r="D511" s="144">
        <v>111055.55</v>
      </c>
      <c r="E511" s="84"/>
      <c r="F511" s="133"/>
      <c r="G511" s="134"/>
      <c r="H511" s="133"/>
      <c r="I511" s="133"/>
      <c r="J511" s="134"/>
      <c r="K511" s="133"/>
    </row>
    <row r="512" spans="1:11" s="3" customFormat="1" ht="30.75" thickBot="1" x14ac:dyDescent="0.3">
      <c r="A512" s="1"/>
      <c r="B512" s="143" t="s">
        <v>484</v>
      </c>
      <c r="C512" s="144">
        <v>1780.08</v>
      </c>
      <c r="D512" s="144">
        <v>1780.08</v>
      </c>
      <c r="E512" s="84"/>
      <c r="F512" s="133"/>
      <c r="G512" s="134"/>
      <c r="H512" s="133"/>
      <c r="I512" s="133"/>
      <c r="J512" s="134"/>
      <c r="K512" s="133"/>
    </row>
    <row r="513" spans="1:11" s="3" customFormat="1" ht="30.75" thickBot="1" x14ac:dyDescent="0.3">
      <c r="A513" s="1"/>
      <c r="B513" s="143" t="s">
        <v>485</v>
      </c>
      <c r="C513" s="144">
        <v>119492.36</v>
      </c>
      <c r="D513" s="144">
        <v>117939.42</v>
      </c>
      <c r="E513" s="84"/>
      <c r="F513" s="133"/>
      <c r="G513" s="134"/>
      <c r="H513" s="133"/>
      <c r="I513" s="133"/>
      <c r="J513" s="134"/>
      <c r="K513" s="133"/>
    </row>
    <row r="514" spans="1:11" s="3" customFormat="1" ht="16.5" thickBot="1" x14ac:dyDescent="0.3">
      <c r="A514" s="1"/>
      <c r="B514" s="145" t="s">
        <v>486</v>
      </c>
      <c r="C514" s="146">
        <v>11360.04</v>
      </c>
      <c r="D514" s="146">
        <v>9789.2800000000007</v>
      </c>
      <c r="E514" s="84"/>
      <c r="F514" s="133"/>
      <c r="G514" s="134"/>
      <c r="H514" s="133"/>
      <c r="I514" s="133"/>
      <c r="J514" s="134"/>
      <c r="K514" s="133"/>
    </row>
    <row r="515" spans="1:11" s="3" customFormat="1" ht="16.5" thickBot="1" x14ac:dyDescent="0.3">
      <c r="A515" s="1"/>
      <c r="B515" s="145" t="s">
        <v>487</v>
      </c>
      <c r="C515" s="147" t="s">
        <v>488</v>
      </c>
      <c r="D515" s="146">
        <v>103930.55</v>
      </c>
      <c r="E515" s="84"/>
      <c r="F515" s="133"/>
      <c r="G515" s="134"/>
      <c r="H515" s="133"/>
      <c r="I515" s="133"/>
      <c r="J515" s="134"/>
      <c r="K515" s="133"/>
    </row>
    <row r="516" spans="1:11" s="3" customFormat="1" ht="16.5" thickBot="1" x14ac:dyDescent="0.3">
      <c r="A516" s="1"/>
      <c r="B516" s="145" t="s">
        <v>489</v>
      </c>
      <c r="C516" s="146">
        <v>4223.21</v>
      </c>
      <c r="D516" s="146">
        <v>4219.59</v>
      </c>
      <c r="E516" s="84"/>
      <c r="F516" s="133"/>
      <c r="G516" s="134"/>
      <c r="H516" s="133"/>
      <c r="I516" s="133"/>
      <c r="J516" s="134"/>
      <c r="K516" s="133"/>
    </row>
    <row r="517" spans="1:11" s="3" customFormat="1" ht="30" x14ac:dyDescent="0.25">
      <c r="A517" s="1"/>
      <c r="B517" s="148" t="s">
        <v>490</v>
      </c>
      <c r="C517" s="154">
        <v>364279.71</v>
      </c>
      <c r="D517" s="154">
        <v>353351.32</v>
      </c>
      <c r="E517" s="84"/>
      <c r="F517" s="133"/>
      <c r="G517" s="134"/>
      <c r="H517" s="133"/>
      <c r="I517" s="133"/>
      <c r="J517" s="134"/>
      <c r="K517" s="133"/>
    </row>
    <row r="518" spans="1:11" s="3" customFormat="1" ht="45.75" thickBot="1" x14ac:dyDescent="0.3">
      <c r="A518" s="1"/>
      <c r="B518" s="143" t="s">
        <v>491</v>
      </c>
      <c r="C518" s="155"/>
      <c r="D518" s="155"/>
      <c r="E518" s="84"/>
      <c r="F518" s="133"/>
      <c r="G518" s="134"/>
      <c r="H518" s="133"/>
      <c r="I518" s="133"/>
      <c r="J518" s="134"/>
      <c r="K518" s="133"/>
    </row>
    <row r="519" spans="1:11" s="3" customFormat="1" ht="30.75" thickBot="1" x14ac:dyDescent="0.3">
      <c r="A519" s="1"/>
      <c r="B519" s="143" t="s">
        <v>492</v>
      </c>
      <c r="C519" s="144">
        <v>33770.04</v>
      </c>
      <c r="D519" s="144">
        <v>32617.13</v>
      </c>
      <c r="E519" s="84"/>
      <c r="F519" s="133"/>
      <c r="G519" s="134"/>
      <c r="H519" s="133"/>
      <c r="I519" s="133"/>
      <c r="J519" s="134"/>
      <c r="K519" s="133"/>
    </row>
    <row r="520" spans="1:11" s="3" customFormat="1" ht="45.75" thickBot="1" x14ac:dyDescent="0.3">
      <c r="A520" s="1"/>
      <c r="B520" s="143" t="s">
        <v>493</v>
      </c>
      <c r="C520" s="144">
        <v>-6294.3</v>
      </c>
      <c r="D520" s="144">
        <v>22130.75</v>
      </c>
      <c r="E520" s="84"/>
      <c r="F520" s="133"/>
      <c r="G520" s="134"/>
      <c r="H520" s="133"/>
      <c r="I520" s="133"/>
      <c r="J520" s="134"/>
      <c r="K520" s="133"/>
    </row>
    <row r="521" spans="1:11" s="3" customFormat="1" ht="30.75" thickBot="1" x14ac:dyDescent="0.3">
      <c r="A521" s="1"/>
      <c r="B521" s="145" t="s">
        <v>494</v>
      </c>
      <c r="C521" s="146">
        <v>61862.39</v>
      </c>
      <c r="D521" s="146">
        <v>29580.240000000002</v>
      </c>
      <c r="E521" s="84"/>
      <c r="F521" s="133"/>
      <c r="G521" s="134"/>
      <c r="H521" s="133"/>
      <c r="I521" s="133"/>
      <c r="J521" s="134"/>
      <c r="K521" s="133"/>
    </row>
    <row r="522" spans="1:11" s="3" customFormat="1" ht="16.5" thickBot="1" x14ac:dyDescent="0.3">
      <c r="A522" s="1"/>
      <c r="B522" s="145" t="s">
        <v>495</v>
      </c>
      <c r="C522" s="146">
        <v>55568.09</v>
      </c>
      <c r="D522" s="146">
        <v>51710.98</v>
      </c>
      <c r="E522" s="84"/>
      <c r="F522" s="133"/>
      <c r="G522" s="134"/>
      <c r="H522" s="133"/>
      <c r="I522" s="133"/>
      <c r="J522" s="134"/>
      <c r="K522" s="133"/>
    </row>
    <row r="523" spans="1:11" s="3" customFormat="1" ht="15.75" x14ac:dyDescent="0.25">
      <c r="A523" s="1"/>
      <c r="B523" s="84"/>
      <c r="C523" s="84"/>
      <c r="D523" s="84"/>
      <c r="E523" s="84"/>
      <c r="F523" s="133"/>
      <c r="G523" s="134"/>
      <c r="H523" s="133"/>
      <c r="I523" s="133"/>
      <c r="J523" s="134"/>
      <c r="K523" s="133"/>
    </row>
    <row r="524" spans="1:11" s="3" customFormat="1" ht="15.75" x14ac:dyDescent="0.25">
      <c r="A524" s="1"/>
      <c r="B524" s="84"/>
      <c r="C524" s="84"/>
      <c r="D524" s="84"/>
      <c r="E524" s="84"/>
      <c r="F524" s="133"/>
      <c r="G524" s="134"/>
      <c r="H524" s="133"/>
      <c r="I524" s="133"/>
      <c r="J524" s="134"/>
      <c r="K524" s="133"/>
    </row>
    <row r="525" spans="1:11" s="231" customFormat="1" ht="18.75" x14ac:dyDescent="0.3">
      <c r="A525" s="229"/>
      <c r="B525" s="149"/>
      <c r="C525" s="230"/>
      <c r="D525" s="230"/>
      <c r="E525" s="150"/>
      <c r="F525" s="229"/>
      <c r="G525" s="229"/>
      <c r="H525" s="229"/>
      <c r="I525" s="229"/>
      <c r="J525" s="229"/>
      <c r="K525" s="229"/>
    </row>
    <row r="526" spans="1:11" s="231" customFormat="1" x14ac:dyDescent="0.25">
      <c r="A526" s="229"/>
      <c r="B526" s="232"/>
      <c r="C526" s="229"/>
      <c r="D526" s="229"/>
      <c r="E526" s="229"/>
      <c r="F526" s="233"/>
      <c r="G526" s="229"/>
      <c r="H526" s="229"/>
      <c r="I526" s="229"/>
      <c r="J526" s="229"/>
      <c r="K526" s="233"/>
    </row>
    <row r="527" spans="1:11" s="231" customFormat="1" ht="18.75" x14ac:dyDescent="0.3">
      <c r="A527" s="229"/>
      <c r="B527" s="149"/>
      <c r="C527" s="230"/>
      <c r="D527" s="230"/>
      <c r="E527" s="150"/>
      <c r="F527" s="229"/>
      <c r="G527" s="229"/>
      <c r="H527" s="229"/>
      <c r="I527" s="229"/>
      <c r="J527" s="229"/>
      <c r="K527" s="229"/>
    </row>
    <row r="528" spans="1:11" s="235" customFormat="1" x14ac:dyDescent="0.25">
      <c r="A528" s="234"/>
      <c r="B528" s="232"/>
      <c r="C528" s="234"/>
      <c r="D528" s="234"/>
      <c r="E528" s="234"/>
      <c r="F528" s="234"/>
      <c r="G528" s="234"/>
      <c r="H528" s="234"/>
      <c r="I528" s="234"/>
      <c r="J528" s="234"/>
      <c r="K528" s="234"/>
    </row>
  </sheetData>
  <mergeCells count="402">
    <mergeCell ref="B2:K2"/>
    <mergeCell ref="B3:K3"/>
    <mergeCell ref="B4:K4"/>
    <mergeCell ref="B6:B7"/>
    <mergeCell ref="C6:D6"/>
    <mergeCell ref="E6:E7"/>
    <mergeCell ref="F6:F7"/>
    <mergeCell ref="G6:H6"/>
    <mergeCell ref="I6:I7"/>
    <mergeCell ref="J6:K6"/>
    <mergeCell ref="B8:K8"/>
    <mergeCell ref="B9:B38"/>
    <mergeCell ref="C9:C13"/>
    <mergeCell ref="D9:D13"/>
    <mergeCell ref="E9:E13"/>
    <mergeCell ref="F9:F13"/>
    <mergeCell ref="I9:I13"/>
    <mergeCell ref="J9:J10"/>
    <mergeCell ref="K9:K10"/>
    <mergeCell ref="C14:C20"/>
    <mergeCell ref="D14:D20"/>
    <mergeCell ref="E14:E20"/>
    <mergeCell ref="F14:F20"/>
    <mergeCell ref="I14:I20"/>
    <mergeCell ref="C22:C23"/>
    <mergeCell ref="D22:D23"/>
    <mergeCell ref="E22:E23"/>
    <mergeCell ref="F22:F23"/>
    <mergeCell ref="I22:I23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42:D42"/>
    <mergeCell ref="B44:B45"/>
    <mergeCell ref="C45:D45"/>
    <mergeCell ref="B46:B58"/>
    <mergeCell ref="C48:D48"/>
    <mergeCell ref="C49:D49"/>
    <mergeCell ref="C50:D50"/>
    <mergeCell ref="C51:D51"/>
    <mergeCell ref="C52:D52"/>
    <mergeCell ref="C53:D53"/>
    <mergeCell ref="B65:B68"/>
    <mergeCell ref="C67:D67"/>
    <mergeCell ref="C68:D68"/>
    <mergeCell ref="B69:B72"/>
    <mergeCell ref="C71:D71"/>
    <mergeCell ref="C72:D72"/>
    <mergeCell ref="C54:D54"/>
    <mergeCell ref="C55:D55"/>
    <mergeCell ref="C56:D56"/>
    <mergeCell ref="C57:D57"/>
    <mergeCell ref="C58:D58"/>
    <mergeCell ref="B60:B64"/>
    <mergeCell ref="C63:D63"/>
    <mergeCell ref="C64:D64"/>
    <mergeCell ref="B81:B84"/>
    <mergeCell ref="C83:D83"/>
    <mergeCell ref="C84:D84"/>
    <mergeCell ref="B85:B88"/>
    <mergeCell ref="C87:D87"/>
    <mergeCell ref="C88:D88"/>
    <mergeCell ref="B73:B76"/>
    <mergeCell ref="C75:D75"/>
    <mergeCell ref="C76:D76"/>
    <mergeCell ref="B77:B80"/>
    <mergeCell ref="C79:D79"/>
    <mergeCell ref="C80:D80"/>
    <mergeCell ref="B97:B100"/>
    <mergeCell ref="C99:D99"/>
    <mergeCell ref="C100:D100"/>
    <mergeCell ref="B101:B103"/>
    <mergeCell ref="C102:C103"/>
    <mergeCell ref="D102:D103"/>
    <mergeCell ref="B89:B92"/>
    <mergeCell ref="C91:D91"/>
    <mergeCell ref="C92:D92"/>
    <mergeCell ref="B93:B96"/>
    <mergeCell ref="C95:D95"/>
    <mergeCell ref="C96:D96"/>
    <mergeCell ref="E102:E103"/>
    <mergeCell ref="F102:F103"/>
    <mergeCell ref="I102:I103"/>
    <mergeCell ref="B104:B105"/>
    <mergeCell ref="B107:B109"/>
    <mergeCell ref="B112:B134"/>
    <mergeCell ref="C113:C122"/>
    <mergeCell ref="D113:D122"/>
    <mergeCell ref="E113:E122"/>
    <mergeCell ref="F113:F122"/>
    <mergeCell ref="C127:D127"/>
    <mergeCell ref="C128:D128"/>
    <mergeCell ref="C129:D129"/>
    <mergeCell ref="C130:D130"/>
    <mergeCell ref="C131:D131"/>
    <mergeCell ref="C132:D132"/>
    <mergeCell ref="I113:I122"/>
    <mergeCell ref="J113:J121"/>
    <mergeCell ref="C123:D123"/>
    <mergeCell ref="C124:D124"/>
    <mergeCell ref="C125:D125"/>
    <mergeCell ref="C126:D126"/>
    <mergeCell ref="F137:F143"/>
    <mergeCell ref="I137:I143"/>
    <mergeCell ref="J137:J142"/>
    <mergeCell ref="C144:D144"/>
    <mergeCell ref="C145:D145"/>
    <mergeCell ref="C146:D146"/>
    <mergeCell ref="C133:D133"/>
    <mergeCell ref="C134:D134"/>
    <mergeCell ref="B135:B155"/>
    <mergeCell ref="C137:C143"/>
    <mergeCell ref="D137:D143"/>
    <mergeCell ref="E137:E143"/>
    <mergeCell ref="C147:D147"/>
    <mergeCell ref="C148:D148"/>
    <mergeCell ref="C149:D149"/>
    <mergeCell ref="C150:D150"/>
    <mergeCell ref="J157:J162"/>
    <mergeCell ref="C164:D164"/>
    <mergeCell ref="C165:D165"/>
    <mergeCell ref="C151:D151"/>
    <mergeCell ref="C152:D152"/>
    <mergeCell ref="C153:D153"/>
    <mergeCell ref="C154:D154"/>
    <mergeCell ref="C155:D155"/>
    <mergeCell ref="B156:B175"/>
    <mergeCell ref="C157:C163"/>
    <mergeCell ref="D157:D163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E157:E163"/>
    <mergeCell ref="F157:F163"/>
    <mergeCell ref="I157:I163"/>
    <mergeCell ref="B183:B196"/>
    <mergeCell ref="C186:C188"/>
    <mergeCell ref="D186:D188"/>
    <mergeCell ref="E186:E188"/>
    <mergeCell ref="F186:F188"/>
    <mergeCell ref="I186:I188"/>
    <mergeCell ref="C174:D174"/>
    <mergeCell ref="C175:D175"/>
    <mergeCell ref="B180:B181"/>
    <mergeCell ref="C180:C181"/>
    <mergeCell ref="D180:D181"/>
    <mergeCell ref="E180:E181"/>
    <mergeCell ref="C189:D189"/>
    <mergeCell ref="C190:D190"/>
    <mergeCell ref="C193:D193"/>
    <mergeCell ref="C194:D194"/>
    <mergeCell ref="C195:D195"/>
    <mergeCell ref="C196:D196"/>
    <mergeCell ref="F180:F181"/>
    <mergeCell ref="I180:I181"/>
    <mergeCell ref="J180:J181"/>
    <mergeCell ref="I204:I224"/>
    <mergeCell ref="C225:D225"/>
    <mergeCell ref="C226:C242"/>
    <mergeCell ref="D226:D242"/>
    <mergeCell ref="E226:E242"/>
    <mergeCell ref="F226:F242"/>
    <mergeCell ref="I226:I242"/>
    <mergeCell ref="B197:B198"/>
    <mergeCell ref="B203:B312"/>
    <mergeCell ref="C204:C224"/>
    <mergeCell ref="D204:D224"/>
    <mergeCell ref="E204:E224"/>
    <mergeCell ref="F204:F224"/>
    <mergeCell ref="C254:C255"/>
    <mergeCell ref="D254:D255"/>
    <mergeCell ref="E254:E255"/>
    <mergeCell ref="F254:F255"/>
    <mergeCell ref="I254:I255"/>
    <mergeCell ref="C256:C265"/>
    <mergeCell ref="D256:D265"/>
    <mergeCell ref="E256:E265"/>
    <mergeCell ref="F256:F265"/>
    <mergeCell ref="I256:I265"/>
    <mergeCell ref="C243:D243"/>
    <mergeCell ref="C244:D244"/>
    <mergeCell ref="C245:C253"/>
    <mergeCell ref="D245:D253"/>
    <mergeCell ref="E245:E253"/>
    <mergeCell ref="F245:F253"/>
    <mergeCell ref="I245:I253"/>
    <mergeCell ref="I269:I278"/>
    <mergeCell ref="C279:C284"/>
    <mergeCell ref="D279:D284"/>
    <mergeCell ref="E279:E284"/>
    <mergeCell ref="F279:F284"/>
    <mergeCell ref="I279:I284"/>
    <mergeCell ref="C266:D266"/>
    <mergeCell ref="C267:D267"/>
    <mergeCell ref="C269:C278"/>
    <mergeCell ref="D269:D278"/>
    <mergeCell ref="E269:E278"/>
    <mergeCell ref="F269:F278"/>
    <mergeCell ref="C294:D294"/>
    <mergeCell ref="C295:D295"/>
    <mergeCell ref="C296:D296"/>
    <mergeCell ref="C297:D297"/>
    <mergeCell ref="C298:D298"/>
    <mergeCell ref="C299:D299"/>
    <mergeCell ref="K285:K286"/>
    <mergeCell ref="C289:D289"/>
    <mergeCell ref="C290:D290"/>
    <mergeCell ref="C291:D291"/>
    <mergeCell ref="C292:D292"/>
    <mergeCell ref="C293:D293"/>
    <mergeCell ref="C285:C286"/>
    <mergeCell ref="D285:D286"/>
    <mergeCell ref="E285:E286"/>
    <mergeCell ref="F285:F286"/>
    <mergeCell ref="I285:I286"/>
    <mergeCell ref="J285:J286"/>
    <mergeCell ref="C306:D306"/>
    <mergeCell ref="C307:D307"/>
    <mergeCell ref="C308:D308"/>
    <mergeCell ref="C309:D309"/>
    <mergeCell ref="C310:D310"/>
    <mergeCell ref="C311:D311"/>
    <mergeCell ref="C300:D300"/>
    <mergeCell ref="C301:D301"/>
    <mergeCell ref="C302:D302"/>
    <mergeCell ref="C303:D303"/>
    <mergeCell ref="C304:D304"/>
    <mergeCell ref="C305:D305"/>
    <mergeCell ref="C312:D312"/>
    <mergeCell ref="B313:B328"/>
    <mergeCell ref="C317:D317"/>
    <mergeCell ref="C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B329:B339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B340:B398"/>
    <mergeCell ref="C341:C366"/>
    <mergeCell ref="D341:D366"/>
    <mergeCell ref="C379:C380"/>
    <mergeCell ref="D379:D380"/>
    <mergeCell ref="E341:E366"/>
    <mergeCell ref="F341:F366"/>
    <mergeCell ref="I341:I366"/>
    <mergeCell ref="C367:D367"/>
    <mergeCell ref="C372:C378"/>
    <mergeCell ref="D372:D378"/>
    <mergeCell ref="E372:E378"/>
    <mergeCell ref="F372:F378"/>
    <mergeCell ref="I372:I378"/>
    <mergeCell ref="C386:D386"/>
    <mergeCell ref="C387:D387"/>
    <mergeCell ref="C388:D388"/>
    <mergeCell ref="C389:D389"/>
    <mergeCell ref="C390:D390"/>
    <mergeCell ref="C391:D391"/>
    <mergeCell ref="E379:E380"/>
    <mergeCell ref="F379:F380"/>
    <mergeCell ref="I379:I380"/>
    <mergeCell ref="C381:D381"/>
    <mergeCell ref="C382:D382"/>
    <mergeCell ref="C383:C385"/>
    <mergeCell ref="D383:D385"/>
    <mergeCell ref="E383:E385"/>
    <mergeCell ref="F383:F385"/>
    <mergeCell ref="I383:I385"/>
    <mergeCell ref="C398:D398"/>
    <mergeCell ref="B399:B409"/>
    <mergeCell ref="C401:C403"/>
    <mergeCell ref="D401:D403"/>
    <mergeCell ref="E401:E403"/>
    <mergeCell ref="F401:F403"/>
    <mergeCell ref="C392:D392"/>
    <mergeCell ref="C393:D393"/>
    <mergeCell ref="C394:D394"/>
    <mergeCell ref="C395:D395"/>
    <mergeCell ref="C396:D396"/>
    <mergeCell ref="C397:D397"/>
    <mergeCell ref="C419:D419"/>
    <mergeCell ref="C420:D420"/>
    <mergeCell ref="C421:D421"/>
    <mergeCell ref="J424:J425"/>
    <mergeCell ref="K424:K425"/>
    <mergeCell ref="C427:D427"/>
    <mergeCell ref="I401:I403"/>
    <mergeCell ref="C408:D408"/>
    <mergeCell ref="C409:D409"/>
    <mergeCell ref="C410:C416"/>
    <mergeCell ref="D410:D416"/>
    <mergeCell ref="E410:E417"/>
    <mergeCell ref="F410:F417"/>
    <mergeCell ref="I410:I417"/>
    <mergeCell ref="C418:D418"/>
    <mergeCell ref="C434:D434"/>
    <mergeCell ref="B435:B438"/>
    <mergeCell ref="C437:D437"/>
    <mergeCell ref="C438:D438"/>
    <mergeCell ref="B439:B443"/>
    <mergeCell ref="C439:C440"/>
    <mergeCell ref="D439:D440"/>
    <mergeCell ref="C443:D443"/>
    <mergeCell ref="C428:D428"/>
    <mergeCell ref="C429:D429"/>
    <mergeCell ref="C430:D430"/>
    <mergeCell ref="C431:D431"/>
    <mergeCell ref="C432:D432"/>
    <mergeCell ref="C433:D433"/>
    <mergeCell ref="B410:B434"/>
    <mergeCell ref="F445:F452"/>
    <mergeCell ref="I445:I452"/>
    <mergeCell ref="C453:D453"/>
    <mergeCell ref="C454:D454"/>
    <mergeCell ref="E439:E440"/>
    <mergeCell ref="F439:F440"/>
    <mergeCell ref="I439:I440"/>
    <mergeCell ref="J439:J440"/>
    <mergeCell ref="K439:K440"/>
    <mergeCell ref="C442:D442"/>
    <mergeCell ref="B455:B456"/>
    <mergeCell ref="B457:B458"/>
    <mergeCell ref="B459:B465"/>
    <mergeCell ref="C459:C464"/>
    <mergeCell ref="D459:D464"/>
    <mergeCell ref="E459:E463"/>
    <mergeCell ref="B444:B454"/>
    <mergeCell ref="C445:C452"/>
    <mergeCell ref="D445:D452"/>
    <mergeCell ref="E445:E452"/>
    <mergeCell ref="F459:F464"/>
    <mergeCell ref="I459:I464"/>
    <mergeCell ref="J462:J463"/>
    <mergeCell ref="B466:B470"/>
    <mergeCell ref="C466:C469"/>
    <mergeCell ref="D466:D469"/>
    <mergeCell ref="E466:E469"/>
    <mergeCell ref="F466:F469"/>
    <mergeCell ref="I466:I469"/>
    <mergeCell ref="B485:B490"/>
    <mergeCell ref="C486:D486"/>
    <mergeCell ref="C487:D487"/>
    <mergeCell ref="C488:D488"/>
    <mergeCell ref="C489:D489"/>
    <mergeCell ref="C490:D490"/>
    <mergeCell ref="I477:I478"/>
    <mergeCell ref="B482:B484"/>
    <mergeCell ref="C483:C484"/>
    <mergeCell ref="D483:D484"/>
    <mergeCell ref="E483:E484"/>
    <mergeCell ref="F483:F484"/>
    <mergeCell ref="I483:I484"/>
    <mergeCell ref="B471:B480"/>
    <mergeCell ref="C471:C476"/>
    <mergeCell ref="D471:D476"/>
    <mergeCell ref="E471:E476"/>
    <mergeCell ref="F471:F476"/>
    <mergeCell ref="I471:I476"/>
    <mergeCell ref="C477:C478"/>
    <mergeCell ref="D477:D478"/>
    <mergeCell ref="E477:E478"/>
    <mergeCell ref="F477:F478"/>
    <mergeCell ref="F495:F496"/>
    <mergeCell ref="I495:I496"/>
    <mergeCell ref="B505:D505"/>
    <mergeCell ref="C517:C518"/>
    <mergeCell ref="D517:D518"/>
    <mergeCell ref="B491:B492"/>
    <mergeCell ref="B493:B494"/>
    <mergeCell ref="B495:B496"/>
    <mergeCell ref="C495:C496"/>
    <mergeCell ref="D495:D496"/>
    <mergeCell ref="E495:E496"/>
  </mergeCells>
  <pageMargins left="0.51181102362204722" right="0.31496062992125984" top="0.34" bottom="0.33" header="0.31496062992125984" footer="0.31496062992125984"/>
  <pageSetup paperSize="9" scale="4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янв-дек 16 с РЗЗ бел </vt:lpstr>
      <vt:lpstr>Лист1</vt:lpstr>
      <vt:lpstr>Лист2</vt:lpstr>
      <vt:lpstr>Лист3</vt:lpstr>
      <vt:lpstr>'янв-дек 16 с РЗЗ бел '!Заголовки_для_печати</vt:lpstr>
      <vt:lpstr>'янв-дек 16 с РЗЗ бел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2017-03-01T10:23:56Z</dcterms:modified>
</cp:coreProperties>
</file>