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995" yWindow="3330" windowWidth="20385" windowHeight="12585"/>
  </bookViews>
  <sheets>
    <sheet name="янв-сент 16 с РЗЗ для адм готов" sheetId="4" r:id="rId1"/>
    <sheet name="Лист1" sheetId="1" r:id="rId2"/>
    <sheet name="Лист2" sheetId="2" r:id="rId3"/>
    <sheet name="Лист3" sheetId="3" r:id="rId4"/>
  </sheets>
  <definedNames>
    <definedName name="_xlnm.Print_Titles" localSheetId="0">'янв-сент 16 с РЗЗ для адм готов'!$B:$K,'янв-сент 16 с РЗЗ для адм готов'!$6:$7</definedName>
    <definedName name="_xlnm.Print_Area" localSheetId="0">'янв-сент 16 с РЗЗ для адм готов'!$B$1:$K$348</definedName>
  </definedNames>
  <calcPr calcId="145621"/>
</workbook>
</file>

<file path=xl/calcChain.xml><?xml version="1.0" encoding="utf-8"?>
<calcChain xmlns="http://schemas.openxmlformats.org/spreadsheetml/2006/main">
  <c r="K310" i="4" l="1"/>
  <c r="I319" i="4" l="1"/>
  <c r="H319" i="4"/>
  <c r="F319" i="4" s="1"/>
  <c r="K317" i="4"/>
  <c r="I317" i="4" s="1"/>
  <c r="H317" i="4"/>
  <c r="F317" i="4" s="1"/>
  <c r="E317" i="4"/>
  <c r="I316" i="4"/>
  <c r="F316" i="4"/>
  <c r="K315" i="4"/>
  <c r="I315" i="4" s="1"/>
  <c r="H315" i="4"/>
  <c r="F315" i="4" s="1"/>
  <c r="E315" i="4"/>
  <c r="F314" i="4"/>
  <c r="K313" i="4"/>
  <c r="I313" i="4" s="1"/>
  <c r="K312" i="4"/>
  <c r="I311" i="4"/>
  <c r="F311" i="4"/>
  <c r="E311" i="4"/>
  <c r="I310" i="4"/>
  <c r="H310" i="4"/>
  <c r="F310" i="4" s="1"/>
  <c r="K309" i="4"/>
  <c r="I309" i="4" s="1"/>
  <c r="H309" i="4"/>
  <c r="F309" i="4" s="1"/>
  <c r="I307" i="4"/>
  <c r="F307" i="4"/>
  <c r="E307" i="4"/>
  <c r="I306" i="4"/>
  <c r="H306" i="4"/>
  <c r="F306" i="4" s="1"/>
  <c r="I305" i="4"/>
  <c r="H305" i="4"/>
  <c r="F305" i="4" s="1"/>
  <c r="H301" i="4"/>
  <c r="H300" i="4"/>
  <c r="H299" i="4"/>
  <c r="H298" i="4"/>
  <c r="I297" i="4"/>
  <c r="H297" i="4"/>
  <c r="E297" i="4"/>
  <c r="I296" i="4"/>
  <c r="H296" i="4"/>
  <c r="F296" i="4" s="1"/>
  <c r="I295" i="4"/>
  <c r="H295" i="4"/>
  <c r="F295" i="4" s="1"/>
  <c r="I294" i="4"/>
  <c r="H294" i="4"/>
  <c r="F294" i="4" s="1"/>
  <c r="K292" i="4"/>
  <c r="I292" i="4" s="1"/>
  <c r="H292" i="4"/>
  <c r="F292" i="4" s="1"/>
  <c r="K291" i="4"/>
  <c r="I291" i="4" s="1"/>
  <c r="H291" i="4"/>
  <c r="F291" i="4" s="1"/>
  <c r="K290" i="4"/>
  <c r="I290" i="4" s="1"/>
  <c r="H290" i="4"/>
  <c r="F290" i="4" s="1"/>
  <c r="K289" i="4"/>
  <c r="I289" i="4" s="1"/>
  <c r="K288" i="4"/>
  <c r="I288" i="4" s="1"/>
  <c r="H288" i="4"/>
  <c r="F288" i="4" s="1"/>
  <c r="K287" i="4"/>
  <c r="I287" i="4" s="1"/>
  <c r="H287" i="4"/>
  <c r="F287" i="4" s="1"/>
  <c r="K286" i="4"/>
  <c r="I286" i="4" s="1"/>
  <c r="H286" i="4"/>
  <c r="F286" i="4" s="1"/>
  <c r="K285" i="4"/>
  <c r="I285" i="4" s="1"/>
  <c r="H285" i="4"/>
  <c r="F285" i="4" s="1"/>
  <c r="K284" i="4"/>
  <c r="I284" i="4" s="1"/>
  <c r="H284" i="4"/>
  <c r="F284" i="4" s="1"/>
  <c r="K283" i="4"/>
  <c r="I283" i="4" s="1"/>
  <c r="H283" i="4"/>
  <c r="F283" i="4" s="1"/>
  <c r="K282" i="4"/>
  <c r="I282" i="4" s="1"/>
  <c r="H282" i="4"/>
  <c r="F282" i="4" s="1"/>
  <c r="K281" i="4"/>
  <c r="I281" i="4" s="1"/>
  <c r="H281" i="4"/>
  <c r="F281" i="4" s="1"/>
  <c r="I280" i="4"/>
  <c r="H280" i="4"/>
  <c r="F280" i="4" s="1"/>
  <c r="I279" i="4"/>
  <c r="H279" i="4"/>
  <c r="F279" i="4" s="1"/>
  <c r="I278" i="4"/>
  <c r="H278" i="4"/>
  <c r="F278" i="4" s="1"/>
  <c r="E278" i="4"/>
  <c r="K277" i="4"/>
  <c r="I277" i="4" s="1"/>
  <c r="F277" i="4"/>
  <c r="K276" i="4"/>
  <c r="I276" i="4" s="1"/>
  <c r="F276" i="4"/>
  <c r="E276" i="4"/>
  <c r="K275" i="4"/>
  <c r="I275" i="4" s="1"/>
  <c r="H275" i="4"/>
  <c r="F275" i="4" s="1"/>
  <c r="K274" i="4"/>
  <c r="I274" i="4" s="1"/>
  <c r="H274" i="4"/>
  <c r="F274" i="4"/>
  <c r="K272" i="4"/>
  <c r="I272" i="4" s="1"/>
  <c r="F272" i="4"/>
  <c r="E272" i="4"/>
  <c r="K271" i="4"/>
  <c r="I271" i="4" s="1"/>
  <c r="H271" i="4"/>
  <c r="F271" i="4" s="1"/>
  <c r="I270" i="4"/>
  <c r="H270" i="4"/>
  <c r="F270" i="4" s="1"/>
  <c r="K269" i="4"/>
  <c r="I269" i="4" s="1"/>
  <c r="H269" i="4"/>
  <c r="F269" i="4" s="1"/>
  <c r="K268" i="4"/>
  <c r="I268" i="4" s="1"/>
  <c r="H268" i="4"/>
  <c r="F268" i="4" s="1"/>
  <c r="K267" i="4"/>
  <c r="I267" i="4" s="1"/>
  <c r="H267" i="4"/>
  <c r="F267" i="4" s="1"/>
  <c r="K266" i="4"/>
  <c r="I266" i="4" s="1"/>
  <c r="H266" i="4"/>
  <c r="F266" i="4" s="1"/>
  <c r="K265" i="4"/>
  <c r="I265" i="4" s="1"/>
  <c r="H265" i="4"/>
  <c r="F265" i="4" s="1"/>
  <c r="K264" i="4"/>
  <c r="I264" i="4" s="1"/>
  <c r="H264" i="4"/>
  <c r="F264" i="4" s="1"/>
  <c r="K263" i="4"/>
  <c r="I263" i="4" s="1"/>
  <c r="H263" i="4"/>
  <c r="F263" i="4" s="1"/>
  <c r="K262" i="4"/>
  <c r="I262" i="4" s="1"/>
  <c r="H262" i="4"/>
  <c r="F262" i="4" s="1"/>
  <c r="K261" i="4"/>
  <c r="I261" i="4" s="1"/>
  <c r="H261" i="4"/>
  <c r="F261" i="4" s="1"/>
  <c r="K260" i="4"/>
  <c r="I260" i="4" s="1"/>
  <c r="H260" i="4"/>
  <c r="F260" i="4" s="1"/>
  <c r="K259" i="4"/>
  <c r="I259" i="4" s="1"/>
  <c r="H259" i="4"/>
  <c r="F259" i="4" s="1"/>
  <c r="K258" i="4"/>
  <c r="I258" i="4" s="1"/>
  <c r="H258" i="4"/>
  <c r="F258" i="4" s="1"/>
  <c r="I257" i="4"/>
  <c r="H257" i="4"/>
  <c r="F257" i="4" s="1"/>
  <c r="K256" i="4"/>
  <c r="I256" i="4" s="1"/>
  <c r="F256" i="4"/>
  <c r="K255" i="4"/>
  <c r="I255" i="4" s="1"/>
  <c r="H255" i="4"/>
  <c r="F255" i="4" s="1"/>
  <c r="I254" i="4"/>
  <c r="H254" i="4"/>
  <c r="F254" i="4" s="1"/>
  <c r="I253" i="4"/>
  <c r="F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H236" i="4"/>
  <c r="F236" i="4" s="1"/>
  <c r="E236" i="4"/>
  <c r="F235" i="4"/>
  <c r="I234" i="4"/>
  <c r="F234" i="4"/>
  <c r="E234" i="4"/>
  <c r="K233" i="4"/>
  <c r="H233" i="4" s="1"/>
  <c r="F233" i="4" s="1"/>
  <c r="K232" i="4"/>
  <c r="K231" i="4"/>
  <c r="H231" i="4" s="1"/>
  <c r="F231" i="4" s="1"/>
  <c r="K230" i="4"/>
  <c r="H230" i="4" s="1"/>
  <c r="F230" i="4" s="1"/>
  <c r="K229" i="4"/>
  <c r="I229" i="4" s="1"/>
  <c r="F229" i="4"/>
  <c r="K228" i="4"/>
  <c r="I228" i="4" s="1"/>
  <c r="F228" i="4"/>
  <c r="K227" i="4"/>
  <c r="I227" i="4" s="1"/>
  <c r="F227" i="4"/>
  <c r="K226" i="4"/>
  <c r="I226" i="4" s="1"/>
  <c r="F226" i="4"/>
  <c r="K225" i="4"/>
  <c r="K224" i="4"/>
  <c r="I224" i="4" s="1"/>
  <c r="H224" i="4"/>
  <c r="F224" i="4" s="1"/>
  <c r="K223" i="4"/>
  <c r="I223" i="4" s="1"/>
  <c r="H223" i="4"/>
  <c r="F223" i="4" s="1"/>
  <c r="K222" i="4"/>
  <c r="I222" i="4" s="1"/>
  <c r="H222" i="4"/>
  <c r="F222" i="4" s="1"/>
  <c r="K221" i="4"/>
  <c r="I221" i="4" s="1"/>
  <c r="H221" i="4"/>
  <c r="F221" i="4" s="1"/>
  <c r="K220" i="4"/>
  <c r="I220" i="4" s="1"/>
  <c r="H220" i="4"/>
  <c r="F220" i="4" s="1"/>
  <c r="K219" i="4"/>
  <c r="I219" i="4" s="1"/>
  <c r="H219" i="4"/>
  <c r="F219" i="4" s="1"/>
  <c r="K218" i="4"/>
  <c r="I218" i="4" s="1"/>
  <c r="H218" i="4"/>
  <c r="F218" i="4" s="1"/>
  <c r="K217" i="4"/>
  <c r="I217" i="4" s="1"/>
  <c r="H217" i="4"/>
  <c r="F217" i="4" s="1"/>
  <c r="K216" i="4"/>
  <c r="I216" i="4" s="1"/>
  <c r="H216" i="4"/>
  <c r="F216" i="4" s="1"/>
  <c r="K215" i="4"/>
  <c r="I215" i="4" s="1"/>
  <c r="H215" i="4"/>
  <c r="F215" i="4" s="1"/>
  <c r="K214" i="4"/>
  <c r="I214" i="4" s="1"/>
  <c r="H214" i="4"/>
  <c r="F214" i="4" s="1"/>
  <c r="K213" i="4"/>
  <c r="I213" i="4" s="1"/>
  <c r="H213" i="4"/>
  <c r="F213" i="4" s="1"/>
  <c r="K212" i="4"/>
  <c r="I212" i="4" s="1"/>
  <c r="H212" i="4"/>
  <c r="F212" i="4" s="1"/>
  <c r="I211" i="4"/>
  <c r="H211" i="4"/>
  <c r="F211" i="4" s="1"/>
  <c r="I210" i="4"/>
  <c r="H210" i="4"/>
  <c r="F210" i="4" s="1"/>
  <c r="K209" i="4"/>
  <c r="I209" i="4" s="1"/>
  <c r="H209" i="4"/>
  <c r="F209" i="4" s="1"/>
  <c r="K208" i="4"/>
  <c r="I208" i="4" s="1"/>
  <c r="H208" i="4"/>
  <c r="F208" i="4" s="1"/>
  <c r="K207" i="4"/>
  <c r="I207" i="4" s="1"/>
  <c r="H207" i="4"/>
  <c r="F207" i="4" s="1"/>
  <c r="K206" i="4"/>
  <c r="I206" i="4" s="1"/>
  <c r="H206" i="4"/>
  <c r="F206" i="4"/>
  <c r="K205" i="4"/>
  <c r="I205" i="4" s="1"/>
  <c r="H205" i="4"/>
  <c r="F205" i="4" s="1"/>
  <c r="K204" i="4"/>
  <c r="I204" i="4" s="1"/>
  <c r="H204" i="4"/>
  <c r="F204" i="4" s="1"/>
  <c r="K203" i="4"/>
  <c r="I203" i="4" s="1"/>
  <c r="H203" i="4"/>
  <c r="F203" i="4" s="1"/>
  <c r="K202" i="4"/>
  <c r="I202" i="4" s="1"/>
  <c r="H202" i="4"/>
  <c r="F202" i="4" s="1"/>
  <c r="K201" i="4"/>
  <c r="I201" i="4" s="1"/>
  <c r="H201" i="4"/>
  <c r="F201" i="4" s="1"/>
  <c r="K200" i="4"/>
  <c r="I200" i="4" s="1"/>
  <c r="H200" i="4"/>
  <c r="F200" i="4" s="1"/>
  <c r="K199" i="4"/>
  <c r="I199" i="4" s="1"/>
  <c r="H199" i="4"/>
  <c r="F199" i="4" s="1"/>
  <c r="K198" i="4"/>
  <c r="I198" i="4" s="1"/>
  <c r="H198" i="4"/>
  <c r="F198" i="4" s="1"/>
  <c r="K197" i="4"/>
  <c r="K196" i="4"/>
  <c r="I196" i="4" s="1"/>
  <c r="K195" i="4"/>
  <c r="I195" i="4" s="1"/>
  <c r="K194" i="4"/>
  <c r="I194" i="4" s="1"/>
  <c r="H194" i="4"/>
  <c r="F194" i="4" s="1"/>
  <c r="K193" i="4"/>
  <c r="I193" i="4" s="1"/>
  <c r="H193" i="4"/>
  <c r="F193" i="4" s="1"/>
  <c r="K192" i="4"/>
  <c r="I192" i="4" s="1"/>
  <c r="H192" i="4"/>
  <c r="F192" i="4" s="1"/>
  <c r="K191" i="4"/>
  <c r="I191" i="4" s="1"/>
  <c r="H191" i="4"/>
  <c r="F191" i="4"/>
  <c r="K190" i="4"/>
  <c r="I190" i="4" s="1"/>
  <c r="H190" i="4"/>
  <c r="F190" i="4" s="1"/>
  <c r="H189" i="4"/>
  <c r="K189" i="4" s="1"/>
  <c r="I189" i="4" s="1"/>
  <c r="F189" i="4"/>
  <c r="I188" i="4"/>
  <c r="H188" i="4"/>
  <c r="F188" i="4" s="1"/>
  <c r="I187" i="4"/>
  <c r="H187" i="4"/>
  <c r="F187" i="4" s="1"/>
  <c r="E187" i="4"/>
  <c r="I186" i="4"/>
  <c r="H186" i="4"/>
  <c r="F186" i="4" s="1"/>
  <c r="E186" i="4"/>
  <c r="H185" i="4"/>
  <c r="K184" i="4"/>
  <c r="I184" i="4" s="1"/>
  <c r="H184" i="4"/>
  <c r="E184" i="4"/>
  <c r="H183" i="4"/>
  <c r="H182" i="4"/>
  <c r="H181" i="4"/>
  <c r="H180" i="4"/>
  <c r="I179" i="4"/>
  <c r="H179" i="4"/>
  <c r="H178" i="4"/>
  <c r="H177" i="4"/>
  <c r="H176" i="4"/>
  <c r="H175" i="4"/>
  <c r="H174" i="4"/>
  <c r="H173" i="4"/>
  <c r="H172" i="4"/>
  <c r="H171" i="4"/>
  <c r="I170" i="4"/>
  <c r="H170" i="4"/>
  <c r="E170" i="4"/>
  <c r="I169" i="4"/>
  <c r="H169" i="4"/>
  <c r="F169" i="4" s="1"/>
  <c r="H168" i="4"/>
  <c r="H167" i="4"/>
  <c r="H166" i="4"/>
  <c r="H165" i="4"/>
  <c r="H164" i="4"/>
  <c r="H163" i="4"/>
  <c r="I162" i="4"/>
  <c r="H162" i="4"/>
  <c r="E162" i="4"/>
  <c r="H161" i="4"/>
  <c r="I160" i="4"/>
  <c r="H160" i="4"/>
  <c r="F160" i="4"/>
  <c r="E160" i="4"/>
  <c r="H159" i="4"/>
  <c r="K158" i="4"/>
  <c r="H158" i="4"/>
  <c r="K157" i="4"/>
  <c r="H157" i="4"/>
  <c r="K156" i="4"/>
  <c r="H156" i="4"/>
  <c r="K155" i="4"/>
  <c r="H155" i="4"/>
  <c r="K154" i="4"/>
  <c r="I153" i="4" s="1"/>
  <c r="H154" i="4"/>
  <c r="K153" i="4"/>
  <c r="H153" i="4"/>
  <c r="E153" i="4"/>
  <c r="H151" i="4"/>
  <c r="K150" i="4"/>
  <c r="H150" i="4"/>
  <c r="K149" i="4"/>
  <c r="H149" i="4"/>
  <c r="K148" i="4"/>
  <c r="H148" i="4"/>
  <c r="K147" i="4"/>
  <c r="H147" i="4"/>
  <c r="K146" i="4"/>
  <c r="H146" i="4"/>
  <c r="K145" i="4"/>
  <c r="H145" i="4"/>
  <c r="K144" i="4"/>
  <c r="H144" i="4"/>
  <c r="E144" i="4"/>
  <c r="H126" i="4"/>
  <c r="K125" i="4"/>
  <c r="H125" i="4"/>
  <c r="K124" i="4"/>
  <c r="H124" i="4"/>
  <c r="K123" i="4"/>
  <c r="H123" i="4"/>
  <c r="H122" i="4"/>
  <c r="F122" i="4" s="1"/>
  <c r="I119" i="4"/>
  <c r="H119" i="4"/>
  <c r="F119" i="4" s="1"/>
  <c r="I115" i="4"/>
  <c r="H115" i="4"/>
  <c r="F115" i="4" s="1"/>
  <c r="E115" i="4"/>
  <c r="I114" i="4"/>
  <c r="H114" i="4"/>
  <c r="F114" i="4" s="1"/>
  <c r="K113" i="4"/>
  <c r="I113" i="4" s="1"/>
  <c r="H113" i="4"/>
  <c r="F113" i="4" s="1"/>
  <c r="K112" i="4"/>
  <c r="I112" i="4" s="1"/>
  <c r="H112" i="4"/>
  <c r="F112" i="4" s="1"/>
  <c r="K111" i="4"/>
  <c r="I111" i="4" s="1"/>
  <c r="H111" i="4"/>
  <c r="F111" i="4" s="1"/>
  <c r="K110" i="4"/>
  <c r="I110" i="4" s="1"/>
  <c r="H110" i="4"/>
  <c r="F110" i="4" s="1"/>
  <c r="K109" i="4"/>
  <c r="I109" i="4" s="1"/>
  <c r="H109" i="4"/>
  <c r="F109" i="4" s="1"/>
  <c r="K108" i="4"/>
  <c r="I108" i="4" s="1"/>
  <c r="H108" i="4"/>
  <c r="F108" i="4" s="1"/>
  <c r="I107" i="4"/>
  <c r="H107" i="4"/>
  <c r="F107" i="4" s="1"/>
  <c r="K105" i="4"/>
  <c r="I104" i="4" s="1"/>
  <c r="H105" i="4"/>
  <c r="K104" i="4"/>
  <c r="E104" i="4"/>
  <c r="K103" i="4"/>
  <c r="H103" i="4" s="1"/>
  <c r="F103" i="4" s="1"/>
  <c r="K102" i="4"/>
  <c r="H102" i="4" s="1"/>
  <c r="F102" i="4" s="1"/>
  <c r="K101" i="4"/>
  <c r="I101" i="4" s="1"/>
  <c r="H101" i="4"/>
  <c r="F101" i="4" s="1"/>
  <c r="K100" i="4"/>
  <c r="I100" i="4" s="1"/>
  <c r="I99" i="4"/>
  <c r="H99" i="4"/>
  <c r="F99" i="4" s="1"/>
  <c r="K98" i="4"/>
  <c r="I98" i="4" s="1"/>
  <c r="H98" i="4"/>
  <c r="F98" i="4" s="1"/>
  <c r="K97" i="4"/>
  <c r="I97" i="4" s="1"/>
  <c r="H97" i="4"/>
  <c r="F97" i="4" s="1"/>
  <c r="K96" i="4"/>
  <c r="I96" i="4" s="1"/>
  <c r="H96" i="4"/>
  <c r="F96" i="4" s="1"/>
  <c r="K95" i="4"/>
  <c r="I95" i="4" s="1"/>
  <c r="H95" i="4"/>
  <c r="F95" i="4" s="1"/>
  <c r="K94" i="4"/>
  <c r="I94" i="4" s="1"/>
  <c r="H94" i="4"/>
  <c r="F94" i="4" s="1"/>
  <c r="I93" i="4"/>
  <c r="H93" i="4"/>
  <c r="F93" i="4" s="1"/>
  <c r="K92" i="4"/>
  <c r="I92" i="4" s="1"/>
  <c r="H92" i="4"/>
  <c r="F92" i="4" s="1"/>
  <c r="K91" i="4"/>
  <c r="I91" i="4" s="1"/>
  <c r="H91" i="4"/>
  <c r="F91" i="4" s="1"/>
  <c r="K90" i="4"/>
  <c r="I90" i="4" s="1"/>
  <c r="H90" i="4"/>
  <c r="F90" i="4" s="1"/>
  <c r="K89" i="4"/>
  <c r="I89" i="4" s="1"/>
  <c r="H89" i="4"/>
  <c r="F89" i="4" s="1"/>
  <c r="K88" i="4"/>
  <c r="I88" i="4" s="1"/>
  <c r="H88" i="4"/>
  <c r="F88" i="4" s="1"/>
  <c r="I87" i="4"/>
  <c r="I86" i="4"/>
  <c r="H86" i="4"/>
  <c r="F86" i="4" s="1"/>
  <c r="K85" i="4"/>
  <c r="I85" i="4" s="1"/>
  <c r="H85" i="4"/>
  <c r="F85" i="4" s="1"/>
  <c r="K84" i="4"/>
  <c r="I84" i="4" s="1"/>
  <c r="H84" i="4"/>
  <c r="F84" i="4" s="1"/>
  <c r="K83" i="4"/>
  <c r="I83" i="4" s="1"/>
  <c r="H83" i="4"/>
  <c r="F83" i="4" s="1"/>
  <c r="K82" i="4"/>
  <c r="I82" i="4" s="1"/>
  <c r="H82" i="4"/>
  <c r="F82" i="4" s="1"/>
  <c r="K81" i="4"/>
  <c r="I81" i="4" s="1"/>
  <c r="H81" i="4"/>
  <c r="F81" i="4" s="1"/>
  <c r="I80" i="4"/>
  <c r="H80" i="4"/>
  <c r="F80" i="4" s="1"/>
  <c r="K79" i="4"/>
  <c r="I79" i="4" s="1"/>
  <c r="H79" i="4"/>
  <c r="F79" i="4" s="1"/>
  <c r="K78" i="4"/>
  <c r="I78" i="4" s="1"/>
  <c r="H78" i="4"/>
  <c r="F78" i="4" s="1"/>
  <c r="K77" i="4"/>
  <c r="I77" i="4" s="1"/>
  <c r="H77" i="4"/>
  <c r="F77" i="4" s="1"/>
  <c r="K76" i="4"/>
  <c r="I76" i="4" s="1"/>
  <c r="H76" i="4"/>
  <c r="F76" i="4" s="1"/>
  <c r="K75" i="4"/>
  <c r="I75" i="4" s="1"/>
  <c r="H75" i="4"/>
  <c r="F75" i="4" s="1"/>
  <c r="I74" i="4"/>
  <c r="I73" i="4"/>
  <c r="H73" i="4"/>
  <c r="F73" i="4" s="1"/>
  <c r="K72" i="4"/>
  <c r="I72" i="4" s="1"/>
  <c r="H72" i="4"/>
  <c r="F72" i="4" s="1"/>
  <c r="K71" i="4"/>
  <c r="I71" i="4" s="1"/>
  <c r="H71" i="4"/>
  <c r="F71" i="4" s="1"/>
  <c r="K70" i="4"/>
  <c r="I70" i="4" s="1"/>
  <c r="H70" i="4"/>
  <c r="F70" i="4" s="1"/>
  <c r="K69" i="4"/>
  <c r="I69" i="4" s="1"/>
  <c r="H69" i="4"/>
  <c r="F69" i="4" s="1"/>
  <c r="K68" i="4"/>
  <c r="I68" i="4" s="1"/>
  <c r="H68" i="4"/>
  <c r="F68" i="4" s="1"/>
  <c r="I67" i="4"/>
  <c r="H67" i="4"/>
  <c r="F67" i="4" s="1"/>
  <c r="K66" i="4"/>
  <c r="I66" i="4" s="1"/>
  <c r="H66" i="4"/>
  <c r="F66" i="4" s="1"/>
  <c r="K65" i="4"/>
  <c r="I65" i="4" s="1"/>
  <c r="H65" i="4"/>
  <c r="F65" i="4" s="1"/>
  <c r="K64" i="4"/>
  <c r="I64" i="4" s="1"/>
  <c r="H64" i="4"/>
  <c r="F64" i="4" s="1"/>
  <c r="K63" i="4"/>
  <c r="I63" i="4" s="1"/>
  <c r="H63" i="4"/>
  <c r="F63" i="4" s="1"/>
  <c r="K62" i="4"/>
  <c r="I62" i="4" s="1"/>
  <c r="H62" i="4"/>
  <c r="F62" i="4" s="1"/>
  <c r="I61" i="4"/>
  <c r="F61" i="4"/>
  <c r="K60" i="4"/>
  <c r="I60" i="4" s="1"/>
  <c r="H60" i="4"/>
  <c r="F60" i="4" s="1"/>
  <c r="K59" i="4"/>
  <c r="I59" i="4" s="1"/>
  <c r="H59" i="4"/>
  <c r="F59" i="4"/>
  <c r="K58" i="4"/>
  <c r="H58" i="4"/>
  <c r="K57" i="4"/>
  <c r="H57" i="4"/>
  <c r="K56" i="4"/>
  <c r="I56" i="4" s="1"/>
  <c r="H56" i="4"/>
  <c r="F56" i="4" s="1"/>
  <c r="K55" i="4"/>
  <c r="I55" i="4" s="1"/>
  <c r="K54" i="4"/>
  <c r="I54" i="4" s="1"/>
  <c r="I53" i="4"/>
  <c r="H53" i="4"/>
  <c r="F53" i="4" s="1"/>
  <c r="I52" i="4"/>
  <c r="H52" i="4"/>
  <c r="F52" i="4" s="1"/>
  <c r="I51" i="4"/>
  <c r="F51" i="4"/>
  <c r="E51" i="4"/>
  <c r="K49" i="4"/>
  <c r="I49" i="4" s="1"/>
  <c r="K48" i="4"/>
  <c r="I48" i="4" s="1"/>
  <c r="K47" i="4"/>
  <c r="I47" i="4" s="1"/>
  <c r="K46" i="4"/>
  <c r="I46" i="4" s="1"/>
  <c r="K45" i="4"/>
  <c r="I45" i="4" s="1"/>
  <c r="K44" i="4"/>
  <c r="I44" i="4" s="1"/>
  <c r="K43" i="4"/>
  <c r="I43" i="4" s="1"/>
  <c r="H43" i="4"/>
  <c r="F43" i="4" s="1"/>
  <c r="K42" i="4"/>
  <c r="I42" i="4" s="1"/>
  <c r="I41" i="4"/>
  <c r="F41" i="4"/>
  <c r="K39" i="4"/>
  <c r="I39" i="4" s="1"/>
  <c r="H39" i="4"/>
  <c r="F39" i="4" s="1"/>
  <c r="I37" i="4"/>
  <c r="F37" i="4"/>
  <c r="I36" i="4"/>
  <c r="H36" i="4"/>
  <c r="F36" i="4" s="1"/>
  <c r="K35" i="4"/>
  <c r="I35" i="4" s="1"/>
  <c r="H35" i="4"/>
  <c r="F35" i="4" s="1"/>
  <c r="K34" i="4"/>
  <c r="I34" i="4" s="1"/>
  <c r="H34" i="4"/>
  <c r="F34" i="4" s="1"/>
  <c r="K33" i="4"/>
  <c r="I33" i="4" s="1"/>
  <c r="H33" i="4"/>
  <c r="F33" i="4" s="1"/>
  <c r="K32" i="4"/>
  <c r="I32" i="4" s="1"/>
  <c r="H32" i="4"/>
  <c r="F32" i="4" s="1"/>
  <c r="K31" i="4"/>
  <c r="I31" i="4" s="1"/>
  <c r="H31" i="4"/>
  <c r="F31" i="4" s="1"/>
  <c r="I30" i="4"/>
  <c r="H30" i="4"/>
  <c r="F30" i="4" s="1"/>
  <c r="K29" i="4"/>
  <c r="I29" i="4" s="1"/>
  <c r="H29" i="4"/>
  <c r="F29" i="4" s="1"/>
  <c r="K28" i="4"/>
  <c r="I28" i="4" s="1"/>
  <c r="H28" i="4"/>
  <c r="F28" i="4" s="1"/>
  <c r="K27" i="4"/>
  <c r="I27" i="4" s="1"/>
  <c r="H27" i="4"/>
  <c r="F27" i="4" s="1"/>
  <c r="K26" i="4"/>
  <c r="I26" i="4"/>
  <c r="H26" i="4"/>
  <c r="F26" i="4" s="1"/>
  <c r="K25" i="4"/>
  <c r="I25" i="4" s="1"/>
  <c r="H25" i="4"/>
  <c r="F25" i="4" s="1"/>
  <c r="I24" i="4"/>
  <c r="H24" i="4"/>
  <c r="F24" i="4" s="1"/>
  <c r="H23" i="4"/>
  <c r="K22" i="4"/>
  <c r="I22" i="4"/>
  <c r="H22" i="4"/>
  <c r="E22" i="4"/>
  <c r="I21" i="4"/>
  <c r="F21" i="4"/>
  <c r="I14" i="4"/>
  <c r="H14" i="4"/>
  <c r="F14" i="4" s="1"/>
  <c r="H10" i="4"/>
  <c r="I9" i="4"/>
  <c r="H9" i="4"/>
  <c r="E9" i="4"/>
  <c r="H100" i="4" l="1"/>
  <c r="F100" i="4" s="1"/>
  <c r="H46" i="4"/>
  <c r="F46" i="4" s="1"/>
  <c r="I230" i="4"/>
  <c r="I233" i="4"/>
  <c r="F144" i="4"/>
  <c r="H44" i="4"/>
  <c r="F44" i="4" s="1"/>
  <c r="I123" i="4"/>
  <c r="I144" i="4"/>
  <c r="H289" i="4"/>
  <c r="F289" i="4" s="1"/>
  <c r="H313" i="4"/>
  <c r="F313" i="4" s="1"/>
  <c r="H55" i="4"/>
  <c r="F55" i="4" s="1"/>
  <c r="I57" i="4"/>
  <c r="F184" i="4"/>
  <c r="H195" i="4"/>
  <c r="F195" i="4" s="1"/>
  <c r="I231" i="4"/>
  <c r="F9" i="4"/>
  <c r="F57" i="4"/>
  <c r="F153" i="4"/>
  <c r="I236" i="4"/>
  <c r="K118" i="4"/>
  <c r="K120" i="4" s="1"/>
  <c r="H48" i="4"/>
  <c r="F48" i="4" s="1"/>
  <c r="F123" i="4"/>
  <c r="F297" i="4"/>
  <c r="F22" i="4"/>
  <c r="H42" i="4"/>
  <c r="F42" i="4" s="1"/>
  <c r="H47" i="4"/>
  <c r="F47" i="4" s="1"/>
  <c r="I103" i="4"/>
  <c r="H104" i="4"/>
  <c r="F104" i="4" s="1"/>
  <c r="F162" i="4"/>
  <c r="F179" i="4"/>
  <c r="I197" i="4"/>
  <c r="H197" i="4"/>
  <c r="F197" i="4" s="1"/>
  <c r="I225" i="4"/>
  <c r="H225" i="4"/>
  <c r="F225" i="4" s="1"/>
  <c r="F170" i="4"/>
  <c r="I232" i="4"/>
  <c r="H232" i="4"/>
  <c r="F232" i="4" s="1"/>
  <c r="I312" i="4"/>
  <c r="H312" i="4"/>
  <c r="F312" i="4" s="1"/>
  <c r="H45" i="4"/>
  <c r="F45" i="4" s="1"/>
  <c r="H49" i="4"/>
  <c r="F49" i="4" s="1"/>
  <c r="I102" i="4"/>
  <c r="H196" i="4"/>
  <c r="F196" i="4" s="1"/>
  <c r="K318" i="4"/>
  <c r="K320" i="4" s="1"/>
  <c r="F318" i="4" l="1"/>
  <c r="F320" i="4" s="1"/>
  <c r="F321" i="4" s="1"/>
  <c r="I318" i="4"/>
  <c r="I320" i="4" s="1"/>
  <c r="I118" i="4"/>
  <c r="I120" i="4" s="1"/>
  <c r="I321" i="4" s="1"/>
  <c r="H118" i="4"/>
  <c r="H120" i="4" s="1"/>
  <c r="K321" i="4"/>
  <c r="F118" i="4"/>
  <c r="F120" i="4" s="1"/>
  <c r="H318" i="4"/>
  <c r="H320" i="4" s="1"/>
  <c r="H321" i="4" l="1"/>
</calcChain>
</file>

<file path=xl/sharedStrings.xml><?xml version="1.0" encoding="utf-8"?>
<sst xmlns="http://schemas.openxmlformats.org/spreadsheetml/2006/main" count="1048" uniqueCount="330">
  <si>
    <t>ОТЧЕТ</t>
  </si>
  <si>
    <t>о ходе исполнения инвестиционной программы «Реконструкция (модернизация) систем водоснабжения и водоотведения на территории  городского округа город Воронеж на 2012 – 2018 годы (в рамках реализации Концессионного соглашения от 23.03.2012 г)» ООО "РВК-Воронеж"</t>
  </si>
  <si>
    <t>январь-сентябрь 2016 г.</t>
  </si>
  <si>
    <t>Наименование целевого показателя и мероприятий</t>
  </si>
  <si>
    <t>Подрядчик</t>
  </si>
  <si>
    <t>Стоимость мероприятий по договору, тыс. руб., (с НДС)</t>
  </si>
  <si>
    <t>Фактическое финансирование тыс. руб., (с НДС)</t>
  </si>
  <si>
    <t>Платежное поручение</t>
  </si>
  <si>
    <t>Фактическое выполнение, тыс. руб., (с НДС)</t>
  </si>
  <si>
    <t>Обоснование</t>
  </si>
  <si>
    <t>Наименование</t>
  </si>
  <si>
    <t>№ и дата договора</t>
  </si>
  <si>
    <t>№, дата</t>
  </si>
  <si>
    <t>сумма, тыс. руб.</t>
  </si>
  <si>
    <t>ВОДОСНАБЖЕНИЕ</t>
  </si>
  <si>
    <t>Строительство ВПС-21 (Геологоразведочные работы, ПИР) (Модернизация ВПС-21)</t>
  </si>
  <si>
    <t>ООО ВПФ "ПССВ"</t>
  </si>
  <si>
    <t>477/14 от 24.07.14</t>
  </si>
  <si>
    <t>№702 от 16.02.2016</t>
  </si>
  <si>
    <t>КС-2, КС-3 №4 от 07.09.2016</t>
  </si>
  <si>
    <t xml:space="preserve">6528 от 30.09.2016 </t>
  </si>
  <si>
    <t>ООО "РВК-консалтинг"</t>
  </si>
  <si>
    <t>488/14 от 04.06.14</t>
  </si>
  <si>
    <t xml:space="preserve"> 2428,636 в месяц</t>
  </si>
  <si>
    <t>№944 от 26.02.2016</t>
  </si>
  <si>
    <t>__</t>
  </si>
  <si>
    <t>УК "РосВодоканал"</t>
  </si>
  <si>
    <t>138/14 от 12.03.14</t>
  </si>
  <si>
    <t>ООО "ЭНЕРГОСТРОЙ"</t>
  </si>
  <si>
    <t>451/15 от 09.10.15</t>
  </si>
  <si>
    <t>№4457 от 27.07.2016</t>
  </si>
  <si>
    <t>КС-2, КС-3 №2 от 20.07.2016</t>
  </si>
  <si>
    <t xml:space="preserve">№6220 от 21.09.2016 </t>
  </si>
  <si>
    <t>ФГБУ "Центрально-Черноземное УГМС"</t>
  </si>
  <si>
    <t>№1660 от 11.04.2016</t>
  </si>
  <si>
    <t>Оплата труда, страховые взносы (январь)</t>
  </si>
  <si>
    <t>Оплата труда, страховые взносы (февраль)</t>
  </si>
  <si>
    <t>Оплата труда, страховые взносы (март)</t>
  </si>
  <si>
    <t>Оплата труда, страховые взносы (апрель)</t>
  </si>
  <si>
    <t>Оплата труда, страховые взносы (май)</t>
  </si>
  <si>
    <t>Оплата труда, страховые взносы (июнь)</t>
  </si>
  <si>
    <t xml:space="preserve"> Общехозяйственные расходы (декабрь)</t>
  </si>
  <si>
    <t>Создание и внедрение гидравлической модели работы системы подачи и распределения воды (СПРВ)</t>
  </si>
  <si>
    <t>ООО Нижне-Волжское предприятие "Росводоканал"</t>
  </si>
  <si>
    <t xml:space="preserve"> 242/12 от 15.08.12</t>
  </si>
  <si>
    <t xml:space="preserve">№5802 от 01.09.2016 </t>
  </si>
  <si>
    <t>Акт</t>
  </si>
  <si>
    <t>Автоматизация ПНС (монтаж шкафов автоматизации)</t>
  </si>
  <si>
    <t>ООО "СаНи"</t>
  </si>
  <si>
    <t>783/14 от 12.12.14</t>
  </si>
  <si>
    <t>Оплата труда, страховые взносы (август)</t>
  </si>
  <si>
    <t>Оплата труда, страховые взносы (сентябрь)</t>
  </si>
  <si>
    <t>Установка вантузов и регуляторов давления. ПИР и СМР. Модернизация водопроводной сети путем установки вантузов. (Установка вантузов и регуляторов давления)</t>
  </si>
  <si>
    <t>ООО "ПОЛИПЛАСТИК Поволжье"</t>
  </si>
  <si>
    <t>381/15 от 03.09.15</t>
  </si>
  <si>
    <t>ООО "ДиТиАй"</t>
  </si>
  <si>
    <t>492/15 от 28.10.15г.</t>
  </si>
  <si>
    <t>№942 от 26.02.2016</t>
  </si>
  <si>
    <t>491/15 от 28.10.2015г.</t>
  </si>
  <si>
    <t>№943 от 26.02.2016</t>
  </si>
  <si>
    <t xml:space="preserve">Материалы (март) </t>
  </si>
  <si>
    <t>Создание системы охраны периметра ВПС-8 и ВПС-12</t>
  </si>
  <si>
    <t>№3557 от 30.06.2016 (часть)</t>
  </si>
  <si>
    <t>Отчет агента за май</t>
  </si>
  <si>
    <t>ООО "ТВ-Сервис"</t>
  </si>
  <si>
    <t>202/16 от 10.05.16</t>
  </si>
  <si>
    <t>№4456 от 27.07.2016</t>
  </si>
  <si>
    <t>КС-2, КС-3 №1 от 05.07.2016 (объект №12)</t>
  </si>
  <si>
    <t>№4455 от 27.07.2016</t>
  </si>
  <si>
    <t>КС-2, КС-3 №1 от 05.07.2016 (объект №8)</t>
  </si>
  <si>
    <t>Создание локальной системы оповещения (ВПС №12)</t>
  </si>
  <si>
    <t>ООО "Многоцелевая подвижная связь"</t>
  </si>
  <si>
    <t>225/16 от 26.05.16</t>
  </si>
  <si>
    <t>№5563 от 24.08.2016</t>
  </si>
  <si>
    <t>КС-2, КС-3 №1 от 01.08.2016</t>
  </si>
  <si>
    <t>Реконструкция ПС-10. Комплекс работ по техническому перевооружению оборудования насосной станции.  (инв. №10000152) (Реконструкция  ПС-10)</t>
  </si>
  <si>
    <t>Реконструкция ПС-13. Комплекс работ по техническому перевооружению оборудования насосной станции. (инв. №10000261) (Реконструкция  ПС-13)</t>
  </si>
  <si>
    <t>Реконструкция ПС-14. Комплекс работ по техническому перевооружению оборудования насосной станции. (инв. №10000483) (Реконструкция  ПС-14)</t>
  </si>
  <si>
    <t>ПИР. Реконструкция ВПС-11/2. Комплекс работ по техническому перевооружению оборудования машинных залов</t>
  </si>
  <si>
    <t>УК «РОСВОДОКАНАЛ»</t>
  </si>
  <si>
    <t>№6494 от 29.09.2016 (часть)</t>
  </si>
  <si>
    <t>Отчет агента за август</t>
  </si>
  <si>
    <t>ПИР. Реконструкция ВПС-9. Комплекс работ по техническому перевооружению оборудования машинных залов</t>
  </si>
  <si>
    <t>ПИР. Реконструкция ВПС-3а. Комплекс работ по техническому перевооружению оборудования машинных залов</t>
  </si>
  <si>
    <t>ПИР. Реконструкция ВПС-6. Комплекс работ по техническому перевооружению оборудования машинных залов</t>
  </si>
  <si>
    <t>Приобретение основных средств (водоснабжение)</t>
  </si>
  <si>
    <t>ООО "Зелаз"</t>
  </si>
  <si>
    <t>218/16 от 24.05.16 (часть)</t>
  </si>
  <si>
    <t>№5564 от 24.08.2016 (часть)</t>
  </si>
  <si>
    <t>ТОРГ-12 №497 от 12.07.2016 (часть)</t>
  </si>
  <si>
    <t>№5180 от 18.08.2016</t>
  </si>
  <si>
    <t>ПИР, СМР. Строительство сетей водоснабжения в микрорайоне Никольское</t>
  </si>
  <si>
    <t>№945 от 26.02.2016</t>
  </si>
  <si>
    <t>№1763 от 15.04.2016 (часть)</t>
  </si>
  <si>
    <t>Отчет агента за февраль</t>
  </si>
  <si>
    <t>ООО "АгроПроектИнжиниринг"</t>
  </si>
  <si>
    <t xml:space="preserve">78/16 от 19.02.16 </t>
  </si>
  <si>
    <t xml:space="preserve">6529 от 30.09.2016 </t>
  </si>
  <si>
    <t>Акт  от 01.08.2016</t>
  </si>
  <si>
    <t>Оплата труда, страховые взносы (июнь )</t>
  </si>
  <si>
    <t>Оплата труда, страховые взносы (июль)</t>
  </si>
  <si>
    <t>ПИР, СМР. Водоснабжение школы на 600 мест, расположенной по адресу Московский пр., 142у</t>
  </si>
  <si>
    <t>№946 от 26.02.2016</t>
  </si>
  <si>
    <t>ООО ТСП "Воронеж Строй Комплекс"</t>
  </si>
  <si>
    <t xml:space="preserve">665/15 от 27.11.15 </t>
  </si>
  <si>
    <t>№938 от 26.02.2016</t>
  </si>
  <si>
    <t>Всего по ВОДОСНАБЖЕНИЮ</t>
  </si>
  <si>
    <t>Расходы заказчика-застройщика по водоснабжению</t>
  </si>
  <si>
    <t>ИТОГО по ВОДОСНАБЖЕНИЮ, в т.ч. Расходы заказчика-застройщика</t>
  </si>
  <si>
    <t>ВОДООТВЕДЕНИЕ</t>
  </si>
  <si>
    <t>ПИР, СМР. Реконструкция аэротенков с внедрением современных технологий нитри-денитрификации (инв. № 20000328) (ПИР: Проектно-изыскательские работы)</t>
  </si>
  <si>
    <t>1351,821 в месяц</t>
  </si>
  <si>
    <t>№947 от 26.02.2016</t>
  </si>
  <si>
    <t>ООО "Укрепрайон"</t>
  </si>
  <si>
    <t>728/14 от 28.11.14</t>
  </si>
  <si>
    <t>№363 от 28.01.2016</t>
  </si>
  <si>
    <t>КС-2, КС-3 №23 от 29.01.16</t>
  </si>
  <si>
    <t>№932 от 26.02.2016</t>
  </si>
  <si>
    <t>КС-2, КС-3 №24 от 29.01.16</t>
  </si>
  <si>
    <t>№933 от 26.02.2016</t>
  </si>
  <si>
    <t>КС-2, КС-3 №25 от 10.03.16</t>
  </si>
  <si>
    <t>№1661 от 11.04.2016</t>
  </si>
  <si>
    <t xml:space="preserve">427/15 от 30.09.15 </t>
  </si>
  <si>
    <t>№364 от 28.01.2016</t>
  </si>
  <si>
    <t>КС-2, КС-3 №4 от 29.02.16</t>
  </si>
  <si>
    <t xml:space="preserve">№1895 от 22.04.2016 </t>
  </si>
  <si>
    <t>КС-2, КС-3 №5 от 29.02.16</t>
  </si>
  <si>
    <t>№1897 от 22.04.2016</t>
  </si>
  <si>
    <t>КС-2, КС-3 №8 от 30.06.16</t>
  </si>
  <si>
    <t>№5149 от 16.08.2016</t>
  </si>
  <si>
    <t>КС-2, КС-3 №7 от 30.06.16</t>
  </si>
  <si>
    <t>№5150 от 16.08.2016</t>
  </si>
  <si>
    <t>КС-2, КС-3 №6 от 30.06.17</t>
  </si>
  <si>
    <t>№5151 от 16.08.2016</t>
  </si>
  <si>
    <t>КС-2, КС-3 №9 от 01.08.2016</t>
  </si>
  <si>
    <t xml:space="preserve">№6530 от 30.09.2016 </t>
  </si>
  <si>
    <t>КС-2, КС-3 №10 от 01.08.2016</t>
  </si>
  <si>
    <t xml:space="preserve">№6531 от 30.09.2016 </t>
  </si>
  <si>
    <t>АО "МАЙ ПРОЕКТ"</t>
  </si>
  <si>
    <t>468/15 от 16.10.15</t>
  </si>
  <si>
    <t>№400 от 29.01.2016</t>
  </si>
  <si>
    <t>Акт №3 от 29.02.16</t>
  </si>
  <si>
    <t>№1335 от 28.03.2016</t>
  </si>
  <si>
    <t>Акт №4 от 30.03.16</t>
  </si>
  <si>
    <t>№1896 от 22.04.2016</t>
  </si>
  <si>
    <t>Акт  №5 от 18.05.16</t>
  </si>
  <si>
    <t xml:space="preserve">№4451 от 27.07.2016 </t>
  </si>
  <si>
    <t xml:space="preserve">Акт №6 от 23.06.16 </t>
  </si>
  <si>
    <t>№4454 от 27.07.2016</t>
  </si>
  <si>
    <t>Акт №7 от 29.07.2016</t>
  </si>
  <si>
    <t>№5148 от 16.08.2016</t>
  </si>
  <si>
    <t>Акт №8 от 22.08.2016</t>
  </si>
  <si>
    <t xml:space="preserve">6218 от 21.09.2016 </t>
  </si>
  <si>
    <t>Акт №8 от 30.09.2016</t>
  </si>
  <si>
    <t xml:space="preserve">469/15 от 20.10.15  </t>
  </si>
  <si>
    <t>№703 от 26.02.2016</t>
  </si>
  <si>
    <t xml:space="preserve">№4452 от 27.07.2016 </t>
  </si>
  <si>
    <t xml:space="preserve">187/16 от 06.05.16 </t>
  </si>
  <si>
    <t xml:space="preserve">№2518 от 19.05.2016 </t>
  </si>
  <si>
    <t>№4453 от 27.07.2016</t>
  </si>
  <si>
    <t>№5145 от 16.08.2016</t>
  </si>
  <si>
    <t>№5146 от 16.08.2016</t>
  </si>
  <si>
    <t>№5147 от 16.08.2016</t>
  </si>
  <si>
    <t>№5562 от 24.08.2016</t>
  </si>
  <si>
    <t xml:space="preserve">№5958 от 08.09.2016 </t>
  </si>
  <si>
    <t xml:space="preserve">№965004 от 31.05.2016 </t>
  </si>
  <si>
    <t>ООО"Волжская металлобаза"</t>
  </si>
  <si>
    <t>711/15 от 17.12.15</t>
  </si>
  <si>
    <t>№934 от 26.02.2016</t>
  </si>
  <si>
    <t>№935 от 26.02.2016</t>
  </si>
  <si>
    <t>№975 от 28.03.2016</t>
  </si>
  <si>
    <t xml:space="preserve">№1332 от 28.03.2016 </t>
  </si>
  <si>
    <t>№1333 от 28.03.2016</t>
  </si>
  <si>
    <t>№1334 от 28.03.2016</t>
  </si>
  <si>
    <t xml:space="preserve">№2519 от 19.05.2016 </t>
  </si>
  <si>
    <t>№3239 от 20.06.2016</t>
  </si>
  <si>
    <t>№3240 от 20.06.2016</t>
  </si>
  <si>
    <t>№908 от 26.02.2016  (часть)</t>
  </si>
  <si>
    <t>№1763 от 15.04.2016 (часть),№1764 от 15.04.2016  (часть)</t>
  </si>
  <si>
    <t>№4491 от 29.07.2016</t>
  </si>
  <si>
    <t>ООО "Оборонэкспертиза"</t>
  </si>
  <si>
    <t>119/16 от 17.03.16</t>
  </si>
  <si>
    <t>№1336 от 28.03.2016</t>
  </si>
  <si>
    <t>Акт №175 от 07.07.2016</t>
  </si>
  <si>
    <t>№3241 от 20.06.2016</t>
  </si>
  <si>
    <t>ООО "КВО-АРМ"</t>
  </si>
  <si>
    <t>744/15 от 29.12.15</t>
  </si>
  <si>
    <t xml:space="preserve">№5801 от 01.09.2016 </t>
  </si>
  <si>
    <t>ООО "Соединительные детали трубопроводов"</t>
  </si>
  <si>
    <t>182/16 от 28.04.2016, д/с №334/16 от 20.07.16</t>
  </si>
  <si>
    <t xml:space="preserve">№6527 от 30.09.2016 </t>
  </si>
  <si>
    <t>ЯФАР РУС ООО</t>
  </si>
  <si>
    <t>335/16 от 20.07.2016</t>
  </si>
  <si>
    <t xml:space="preserve">№965021 от 30.09.2016 </t>
  </si>
  <si>
    <t>Капитализация процентов январь</t>
  </si>
  <si>
    <t>Капитализация процентов февраль</t>
  </si>
  <si>
    <t>Капитализация процентов март</t>
  </si>
  <si>
    <t>Капитализация процентов апрель</t>
  </si>
  <si>
    <t>Капитализация процентов май</t>
  </si>
  <si>
    <t>Капитализация процентов июнь</t>
  </si>
  <si>
    <t>Капитализация процентов июль</t>
  </si>
  <si>
    <t>Капитализация процентов август</t>
  </si>
  <si>
    <t>Капитализация процентов сентябрь</t>
  </si>
  <si>
    <t>ПИР, СМР. Строительство цеха механического обезвоживания осадка (ЦМО) на ПОС</t>
  </si>
  <si>
    <t>№948 от 26.02.2016</t>
  </si>
  <si>
    <t>№1659 от 11.04.2016</t>
  </si>
  <si>
    <t>№1764 от 15.04.2016 (часть)</t>
  </si>
  <si>
    <t>Отчет агента за март</t>
  </si>
  <si>
    <t>Приобретение основных средств (водоотведение)</t>
  </si>
  <si>
    <t>Оплата труда, страховые взносы апрель дробилка РД 600  ООО "НафтаЭКО инжиниринговая компания" (ООО "Водмашоборудование")</t>
  </si>
  <si>
    <t>Материалы май ( РЕШЕТКА ДРОБИЛКА РД-600 Модернизация (установка мотор-редуктора))</t>
  </si>
  <si>
    <t>Материалы июнь ( РЕШЕТКА ДРОБИЛКА РД-600  Модернизация (установка мотор-редуктора))</t>
  </si>
  <si>
    <t>Материалы июль (РЕШЕТКА ДРОБИЛКА РД-600  Модернизация (установка мотор-редуктора))</t>
  </si>
  <si>
    <t>Материалы август (РЕШЕТКА ДРОБИЛКА РД-600  Модернизация (установка мотор-редуктора))</t>
  </si>
  <si>
    <t>Оплата труда, страховые взносы май Решетка дробилка РД-600 (установка мотор-редуктора)</t>
  </si>
  <si>
    <t>Оплата труда, страховые взносы июнь Решетка дробилка РД-600 (установка мотор-редуктора)</t>
  </si>
  <si>
    <t>Оплата труда, страховые взносы июль Решетка дробилка РД-600 (установка мотор-редуктора)</t>
  </si>
  <si>
    <t>Оплата труда, страховые взносы август Решетка дробилка РД-600 (установка мотор-редуктора)</t>
  </si>
  <si>
    <t>ООО ГК "Авангард"</t>
  </si>
  <si>
    <t>117/16 от 17.03.16</t>
  </si>
  <si>
    <t>№3238 от 20.06.2016</t>
  </si>
  <si>
    <t>ПИР и СМР. Реконструкция главного Левобережного коллектора Д-2000 мм протяженностью L-1825 п.м. от камеры на пересечении ул. Брусилова-Ленинский проспект до ГКНС (инв. №30014578 «Канализационные сети Левобережного района»). (Реконструкция и замена канализационных сетей и коллекторов.)</t>
  </si>
  <si>
    <t>ООО "СтройПолимерМонтаж"</t>
  </si>
  <si>
    <t>306/14 от 19.05.14</t>
  </si>
  <si>
    <t>ООО "Производственная фирма "СТИС""</t>
  </si>
  <si>
    <t xml:space="preserve">507/15 от 16.11.15 </t>
  </si>
  <si>
    <t xml:space="preserve">№4169 от 12.07.16 </t>
  </si>
  <si>
    <t>КС-2, КС-3 №9 от 31.03.16</t>
  </si>
  <si>
    <t>КС-2, КС-3 №10 от 31.03.16</t>
  </si>
  <si>
    <t>КС-2, КС-3 №11 от 31.03.16</t>
  </si>
  <si>
    <t>КС-2, КС-3 №12 от 31.03.16</t>
  </si>
  <si>
    <t>КС-2, КС-3 №13 от 31.03.16</t>
  </si>
  <si>
    <t>КС-2, КС-3 №14 от 06.05.16</t>
  </si>
  <si>
    <t>КС-2, КС-3 №15 от 06.05.16</t>
  </si>
  <si>
    <t>КС-2, КС-3 №16 от 06.05.16</t>
  </si>
  <si>
    <t>КС-2, КС-3 №17 от 06.05.16</t>
  </si>
  <si>
    <t>КС-2, КС-3 №18 от 06.05.16</t>
  </si>
  <si>
    <t>КС-2, КС-3 №19 от 06.05.16</t>
  </si>
  <si>
    <t>КС-2, КС-3 №20 от 06.05.16</t>
  </si>
  <si>
    <t>КС-2, КС-3 №21 от 06.05.16</t>
  </si>
  <si>
    <t>КС-2, КС-3 №22 от 06.05.16</t>
  </si>
  <si>
    <t>КС-2, КС-3 №23 от 06.05.16</t>
  </si>
  <si>
    <t>КС-2, КС-3 №24 от 06.05.16</t>
  </si>
  <si>
    <t>КС-2, КС-3 №25 от 31.05.16</t>
  </si>
  <si>
    <t>Отчет агента за сентябрь</t>
  </si>
  <si>
    <t>№949 от 26.02.2016</t>
  </si>
  <si>
    <t>МКУ "ГДДХ и Б"</t>
  </si>
  <si>
    <t>122/16 от 03.03.16</t>
  </si>
  <si>
    <t>№1240 от 22.03.2016</t>
  </si>
  <si>
    <t>Акт сдачи-приемки 04.03.16</t>
  </si>
  <si>
    <t>Давальческие материалы ООО "Производственная фирма "СТИС" (май)</t>
  </si>
  <si>
    <t>Сторно материалы (август)</t>
  </si>
  <si>
    <t>Кор. зап. 05.08.2016</t>
  </si>
  <si>
    <t>ПИР, СМР. Строительство канализационных сетей и сооружений в микрорайоне Никольское</t>
  </si>
  <si>
    <t>№950 от 26.02.2016</t>
  </si>
  <si>
    <t>79/16 от 19.02.16</t>
  </si>
  <si>
    <t>Акт от 23.08.2016</t>
  </si>
  <si>
    <t>Акт от 16.09.2016</t>
  </si>
  <si>
    <t>ПИР, СМР. Реконструкция канализационных линий, подводящих сточные воды к КНС-5</t>
  </si>
  <si>
    <t>ООО "ТЕХНОЛОГИИ XXI ВЕК"</t>
  </si>
  <si>
    <t>346/16 от 27.07.16</t>
  </si>
  <si>
    <t>КС-2, КС-3 №1 от 29.08.2016</t>
  </si>
  <si>
    <t>Давальческие материалы ООО "ТЕХНОЛОГИИ XXI ВЕК" (август)</t>
  </si>
  <si>
    <t>ООО "Иммид"</t>
  </si>
  <si>
    <t>333/16 от 20.07.16</t>
  </si>
  <si>
    <t xml:space="preserve">№5803 от 01.09.2016 </t>
  </si>
  <si>
    <t>№5733 от 31.08.2016</t>
  </si>
  <si>
    <t xml:space="preserve">ПИР, СМР. Реконструкция канализационной линии по ул. Дубровина Д=250-450мм протяжённостью L=1700 п.м. </t>
  </si>
  <si>
    <t xml:space="preserve">ПИР, СМР. Реконструкция канализационных линий от многоквартирных домов, расположенных по пр. Труда №73-87 с подключением к муниципальным сетям </t>
  </si>
  <si>
    <t>ПИР, СМР. Водоотведение школы на 600 мест, расположенной по адресу Московский пр., 142у</t>
  </si>
  <si>
    <t>№951 от 26.02.2016</t>
  </si>
  <si>
    <t xml:space="preserve">№666/15 от 27.11.15 </t>
  </si>
  <si>
    <t>№940 от 26.02.2016</t>
  </si>
  <si>
    <t>№939 от 26.02.2016</t>
  </si>
  <si>
    <t>№941 от 26.02.2016</t>
  </si>
  <si>
    <t>№997 от 01.03.2016</t>
  </si>
  <si>
    <t>№998 от 01.03.2016</t>
  </si>
  <si>
    <t>ПИР, СМР. Реконструкция КНС-8 (инв. №10000386) с заменой оборудования</t>
  </si>
  <si>
    <t xml:space="preserve">№451/16 от 30.09.16 </t>
  </si>
  <si>
    <t>КС-2, КС-3 №1 от 30.09.2016</t>
  </si>
  <si>
    <t>КС-2, КС-3 №2 от 30.09.2016</t>
  </si>
  <si>
    <t>ПИР. Реконструкция ГКНС (инв. №10000470) с заменой оборудования</t>
  </si>
  <si>
    <t>Воронежский ГАСУ</t>
  </si>
  <si>
    <t>461/15 от 09.10.15</t>
  </si>
  <si>
    <t xml:space="preserve">№6219 от 21.09.2016 </t>
  </si>
  <si>
    <t>Акт от 25.07.2016</t>
  </si>
  <si>
    <t>Создание гидравлической модели работы системы водоотведения</t>
  </si>
  <si>
    <t>Автоматизация КНС (монтаж шкафов автоматизации на 25 КНС)</t>
  </si>
  <si>
    <t>412/15 от 28.09.2015</t>
  </si>
  <si>
    <t>Создание системы охранной сигнализации объектов ул. Солнечная 6, пр. Патриотов 34а, ул. Ленинградская 58в</t>
  </si>
  <si>
    <t>ООО "Комплекс систем безопасности"</t>
  </si>
  <si>
    <t>770/14 от 11.12.14</t>
  </si>
  <si>
    <t>170/16 от 15.04.16</t>
  </si>
  <si>
    <t>№2532 от 19.05.2016</t>
  </si>
  <si>
    <t>КС-2, КС-3 №1 от 22.04.16</t>
  </si>
  <si>
    <t xml:space="preserve">Создание системы охраны периметра ПОС </t>
  </si>
  <si>
    <t>ООО "Завод Полипром"</t>
  </si>
  <si>
    <t>747/15 от 29.12.2015</t>
  </si>
  <si>
    <t>№1658 от 11.04.2016</t>
  </si>
  <si>
    <t>КС-2, КС-3 №1 от 01.03.16</t>
  </si>
  <si>
    <t>ИТОГО по ВОДООТВЕДЕНИЮ</t>
  </si>
  <si>
    <t>Расходы заказчика-застройщика по водоотведению</t>
  </si>
  <si>
    <t>ИТОГО по ВОДООТВЕДЕНИЮ, в т.ч. Расходы заказчика-застройщика</t>
  </si>
  <si>
    <t>ВСЕГО по ВОДОСНАБЖЕНИЮ и ВОДООТВЕДЕНИЮ, в т.ч. Расходы заказчика-застройщика</t>
  </si>
  <si>
    <t xml:space="preserve">Финансовый директор </t>
  </si>
  <si>
    <t>С.В. Туршатова</t>
  </si>
  <si>
    <t>Начальник ОРИП</t>
  </si>
  <si>
    <t>Е.С. Александрова</t>
  </si>
  <si>
    <t>Справочно</t>
  </si>
  <si>
    <t>Структура финансовых потоков по инвестиционной программе</t>
  </si>
  <si>
    <t>Показатель</t>
  </si>
  <si>
    <t>Начисление</t>
  </si>
  <si>
    <t>Оплата</t>
  </si>
  <si>
    <t>Выполнение /Финансирование мероприятий с НДС в ценах соответствующих лет  с учетом накладных расходов</t>
  </si>
  <si>
    <t>Финансирование ИП за счет кредитов</t>
  </si>
  <si>
    <t>Погашение кредитов</t>
  </si>
  <si>
    <t>Бюджетное финансирование работ в рамках инвестиционной программы (субсидии)</t>
  </si>
  <si>
    <t>Расходы на обслуживание кредитов с НДС, в т.ч.</t>
  </si>
  <si>
    <t xml:space="preserve">- банковская гарантия </t>
  </si>
  <si>
    <t>- расходы на %% по кредитам</t>
  </si>
  <si>
    <t>76 852,26</t>
  </si>
  <si>
    <t>- оплата услуг юристов, осуществляющих сопровождение соглашений со стороны ЕБРР</t>
  </si>
  <si>
    <t>4 223,21</t>
  </si>
  <si>
    <t>Налог на прибыль (расчетный по ИП)</t>
  </si>
  <si>
    <t>НДС итого, в т. ч.</t>
  </si>
  <si>
    <t>Возмещение НДС с расходов по инвестиционным мероприятиям</t>
  </si>
  <si>
    <t>НДС к уплате (расчетный)</t>
  </si>
  <si>
    <t>9 месяцев 2016 года</t>
  </si>
  <si>
    <t>Недополученная Выручка по ВС  с НДС в  связи с корректировкой тарифа /Не Поступившая выручка по ВС с НДС в  связи с корректировкой тарифа</t>
  </si>
  <si>
    <t>Выручка по ВС и ВО в части инвест. составляющей с НДС/Поступление выручки по ВС и ВО части инвест. составляющей с НДС за вычетом резерва по ДЗ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</si>
</sst>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sz val="10"/>
      <color theme="1"/>
      <name val="Arial Narrow"/>
      <family val="2"/>
      <charset val="204"/>
    </font>
    <font>
      <sz val="12"/>
      <name val="Arial"/>
      <family val="2"/>
      <charset val="204"/>
    </font>
    <font>
      <sz val="12"/>
      <color rgb="FFFF0000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Arial Cyr"/>
      <charset val="204"/>
    </font>
    <font>
      <sz val="8"/>
      <name val="Arial"/>
      <family val="2"/>
      <charset val="204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b/>
      <sz val="12"/>
      <color rgb="FF000000"/>
      <name val="Arial"/>
      <family val="2"/>
      <charset val="204"/>
    </font>
    <font>
      <sz val="12"/>
      <color rgb="FF000000"/>
      <name val="Arial"/>
      <family val="2"/>
      <charset val="204"/>
    </font>
    <font>
      <i/>
      <sz val="12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0" fontId="9" fillId="0" borderId="0"/>
    <xf numFmtId="0" fontId="11" fillId="0" borderId="0"/>
    <xf numFmtId="0" fontId="12" fillId="0" borderId="0"/>
    <xf numFmtId="0" fontId="2" fillId="0" borderId="0"/>
    <xf numFmtId="0" fontId="13" fillId="0" borderId="0"/>
  </cellStyleXfs>
  <cellXfs count="212">
    <xf numFmtId="0" fontId="0" fillId="0" borderId="0" xfId="0"/>
    <xf numFmtId="0" fontId="1" fillId="0" borderId="0" xfId="1"/>
    <xf numFmtId="0" fontId="3" fillId="0" borderId="0" xfId="2" applyFont="1" applyFill="1" applyBorder="1" applyAlignment="1">
      <alignment horizontal="center" vertical="center" wrapText="1"/>
    </xf>
    <xf numFmtId="0" fontId="3" fillId="0" borderId="7" xfId="2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164" fontId="5" fillId="0" borderId="4" xfId="1" applyNumberFormat="1" applyFont="1" applyFill="1" applyBorder="1" applyAlignment="1">
      <alignment horizontal="center" vertical="center" wrapText="1"/>
    </xf>
    <xf numFmtId="0" fontId="5" fillId="0" borderId="19" xfId="1" applyFont="1" applyFill="1" applyBorder="1" applyAlignment="1">
      <alignment horizontal="center" vertical="center" wrapText="1"/>
    </xf>
    <xf numFmtId="164" fontId="5" fillId="0" borderId="19" xfId="1" applyNumberFormat="1" applyFont="1" applyFill="1" applyBorder="1" applyAlignment="1">
      <alignment horizontal="center" vertical="center" wrapText="1"/>
    </xf>
    <xf numFmtId="0" fontId="5" fillId="0" borderId="20" xfId="1" applyFont="1" applyFill="1" applyBorder="1" applyAlignment="1">
      <alignment horizontal="center" vertical="center" wrapText="1"/>
    </xf>
    <xf numFmtId="164" fontId="5" fillId="0" borderId="20" xfId="1" applyNumberFormat="1" applyFont="1" applyFill="1" applyBorder="1" applyAlignment="1">
      <alignment horizontal="center" vertical="center" wrapText="1"/>
    </xf>
    <xf numFmtId="164" fontId="5" fillId="0" borderId="22" xfId="1" applyNumberFormat="1" applyFont="1" applyFill="1" applyBorder="1" applyAlignment="1">
      <alignment vertical="center" wrapText="1"/>
    </xf>
    <xf numFmtId="164" fontId="5" fillId="0" borderId="23" xfId="1" applyNumberFormat="1" applyFont="1" applyFill="1" applyBorder="1" applyAlignment="1">
      <alignment horizontal="center" vertical="center" wrapText="1"/>
    </xf>
    <xf numFmtId="164" fontId="5" fillId="0" borderId="24" xfId="1" applyNumberFormat="1" applyFont="1" applyFill="1" applyBorder="1" applyAlignment="1">
      <alignment horizontal="center" vertical="center" wrapText="1"/>
    </xf>
    <xf numFmtId="0" fontId="5" fillId="0" borderId="21" xfId="1" applyFont="1" applyFill="1" applyBorder="1" applyAlignment="1">
      <alignment horizontal="center" vertical="center" wrapText="1"/>
    </xf>
    <xf numFmtId="0" fontId="5" fillId="0" borderId="27" xfId="1" applyFont="1" applyFill="1" applyBorder="1" applyAlignment="1">
      <alignment horizontal="center" vertical="center" wrapText="1"/>
    </xf>
    <xf numFmtId="164" fontId="5" fillId="0" borderId="21" xfId="1" applyNumberFormat="1" applyFont="1" applyFill="1" applyBorder="1" applyAlignment="1">
      <alignment horizontal="center" vertical="center" wrapText="1"/>
    </xf>
    <xf numFmtId="165" fontId="5" fillId="0" borderId="19" xfId="1" applyNumberFormat="1" applyFont="1" applyFill="1" applyBorder="1" applyAlignment="1">
      <alignment horizontal="center" vertical="center" wrapText="1"/>
    </xf>
    <xf numFmtId="164" fontId="5" fillId="0" borderId="27" xfId="1" applyNumberFormat="1" applyFont="1" applyFill="1" applyBorder="1" applyAlignment="1">
      <alignment horizontal="center" vertical="center" wrapText="1"/>
    </xf>
    <xf numFmtId="165" fontId="5" fillId="0" borderId="20" xfId="1" applyNumberFormat="1" applyFont="1" applyFill="1" applyBorder="1" applyAlignment="1">
      <alignment horizontal="center" vertical="center" wrapText="1"/>
    </xf>
    <xf numFmtId="0" fontId="5" fillId="0" borderId="22" xfId="1" applyFont="1" applyFill="1" applyBorder="1" applyAlignment="1">
      <alignment horizontal="center" vertical="center" wrapText="1"/>
    </xf>
    <xf numFmtId="164" fontId="6" fillId="0" borderId="20" xfId="1" applyNumberFormat="1" applyFont="1" applyFill="1" applyBorder="1" applyAlignment="1">
      <alignment horizontal="center" vertical="center" wrapText="1"/>
    </xf>
    <xf numFmtId="164" fontId="6" fillId="0" borderId="21" xfId="1" applyNumberFormat="1" applyFont="1" applyFill="1" applyBorder="1" applyAlignment="1">
      <alignment horizontal="center" vertical="center" wrapText="1"/>
    </xf>
    <xf numFmtId="164" fontId="6" fillId="0" borderId="19" xfId="1" applyNumberFormat="1" applyFont="1" applyFill="1" applyBorder="1" applyAlignment="1">
      <alignment horizontal="center" vertical="center" wrapText="1"/>
    </xf>
    <xf numFmtId="164" fontId="6" fillId="0" borderId="24" xfId="1" applyNumberFormat="1" applyFont="1" applyFill="1" applyBorder="1" applyAlignment="1">
      <alignment horizontal="center" vertical="center" wrapText="1"/>
    </xf>
    <xf numFmtId="0" fontId="7" fillId="0" borderId="0" xfId="1" applyFont="1" applyFill="1"/>
    <xf numFmtId="0" fontId="5" fillId="0" borderId="7" xfId="1" applyFont="1" applyFill="1" applyBorder="1" applyAlignment="1">
      <alignment horizontal="center" vertical="center" wrapText="1"/>
    </xf>
    <xf numFmtId="164" fontId="5" fillId="0" borderId="7" xfId="1" applyNumberFormat="1" applyFont="1" applyFill="1" applyBorder="1" applyAlignment="1">
      <alignment horizontal="center" vertical="center" wrapText="1"/>
    </xf>
    <xf numFmtId="165" fontId="5" fillId="0" borderId="7" xfId="1" applyNumberFormat="1" applyFont="1" applyFill="1" applyBorder="1" applyAlignment="1">
      <alignment horizontal="center" vertical="center" wrapText="1"/>
    </xf>
    <xf numFmtId="165" fontId="5" fillId="0" borderId="10" xfId="1" applyNumberFormat="1" applyFont="1" applyFill="1" applyBorder="1" applyAlignment="1">
      <alignment horizontal="center" vertical="center" wrapText="1"/>
    </xf>
    <xf numFmtId="0" fontId="7" fillId="0" borderId="0" xfId="1" applyFont="1"/>
    <xf numFmtId="0" fontId="3" fillId="0" borderId="11" xfId="1" applyFont="1" applyFill="1" applyBorder="1" applyAlignment="1">
      <alignment vertical="center" wrapText="1"/>
    </xf>
    <xf numFmtId="0" fontId="3" fillId="0" borderId="12" xfId="1" applyFont="1" applyFill="1" applyBorder="1" applyAlignment="1">
      <alignment vertical="center" wrapText="1"/>
    </xf>
    <xf numFmtId="0" fontId="3" fillId="0" borderId="13" xfId="1" applyFont="1" applyFill="1" applyBorder="1" applyAlignment="1">
      <alignment vertical="center" wrapText="1"/>
    </xf>
    <xf numFmtId="0" fontId="5" fillId="0" borderId="32" xfId="1" applyFont="1" applyFill="1" applyBorder="1" applyAlignment="1">
      <alignment horizontal="center" vertical="center" wrapText="1"/>
    </xf>
    <xf numFmtId="0" fontId="5" fillId="0" borderId="33" xfId="1" applyFont="1" applyFill="1" applyBorder="1" applyAlignment="1">
      <alignment horizontal="center" vertical="center" wrapText="1"/>
    </xf>
    <xf numFmtId="164" fontId="5" fillId="0" borderId="33" xfId="1" applyNumberFormat="1" applyFont="1" applyFill="1" applyBorder="1" applyAlignment="1">
      <alignment horizontal="center" vertical="center" wrapText="1"/>
    </xf>
    <xf numFmtId="164" fontId="5" fillId="0" borderId="34" xfId="1" applyNumberFormat="1" applyFont="1" applyFill="1" applyBorder="1" applyAlignment="1">
      <alignment horizontal="center" vertical="center" wrapText="1"/>
    </xf>
    <xf numFmtId="165" fontId="5" fillId="0" borderId="24" xfId="1" applyNumberFormat="1" applyFont="1" applyFill="1" applyBorder="1" applyAlignment="1">
      <alignment horizontal="center" vertical="center" wrapText="1"/>
    </xf>
    <xf numFmtId="165" fontId="5" fillId="0" borderId="27" xfId="1" applyNumberFormat="1" applyFont="1" applyFill="1" applyBorder="1" applyAlignment="1">
      <alignment horizontal="center" vertical="center" wrapText="1"/>
    </xf>
    <xf numFmtId="165" fontId="5" fillId="0" borderId="21" xfId="1" applyNumberFormat="1" applyFont="1" applyFill="1" applyBorder="1" applyAlignment="1">
      <alignment horizontal="center" vertical="center" wrapText="1"/>
    </xf>
    <xf numFmtId="164" fontId="8" fillId="0" borderId="19" xfId="1" applyNumberFormat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164" fontId="5" fillId="0" borderId="8" xfId="1" applyNumberFormat="1" applyFont="1" applyFill="1" applyBorder="1" applyAlignment="1">
      <alignment horizontal="center" vertical="center" wrapText="1"/>
    </xf>
    <xf numFmtId="165" fontId="5" fillId="0" borderId="8" xfId="1" applyNumberFormat="1" applyFont="1" applyFill="1" applyBorder="1" applyAlignment="1">
      <alignment horizontal="center" vertical="center" wrapText="1"/>
    </xf>
    <xf numFmtId="165" fontId="5" fillId="0" borderId="37" xfId="1" applyNumberFormat="1" applyFont="1" applyFill="1" applyBorder="1" applyAlignment="1">
      <alignment horizontal="center" vertical="center" wrapText="1"/>
    </xf>
    <xf numFmtId="165" fontId="5" fillId="0" borderId="22" xfId="1" applyNumberFormat="1" applyFont="1" applyFill="1" applyBorder="1" applyAlignment="1">
      <alignment horizontal="center" vertical="center" wrapText="1"/>
    </xf>
    <xf numFmtId="165" fontId="5" fillId="0" borderId="23" xfId="1" applyNumberFormat="1" applyFont="1" applyFill="1" applyBorder="1" applyAlignment="1">
      <alignment horizontal="center" vertical="center" wrapText="1"/>
    </xf>
    <xf numFmtId="165" fontId="5" fillId="0" borderId="33" xfId="1" applyNumberFormat="1" applyFont="1" applyFill="1" applyBorder="1" applyAlignment="1">
      <alignment horizontal="center" vertical="center" wrapText="1"/>
    </xf>
    <xf numFmtId="165" fontId="5" fillId="0" borderId="34" xfId="1" applyNumberFormat="1" applyFont="1" applyFill="1" applyBorder="1" applyAlignment="1">
      <alignment horizontal="center" vertical="center" wrapText="1"/>
    </xf>
    <xf numFmtId="165" fontId="6" fillId="0" borderId="24" xfId="1" applyNumberFormat="1" applyFont="1" applyFill="1" applyBorder="1" applyAlignment="1">
      <alignment horizontal="center" vertical="center" wrapText="1"/>
    </xf>
    <xf numFmtId="164" fontId="6" fillId="0" borderId="7" xfId="1" applyNumberFormat="1" applyFont="1" applyFill="1" applyBorder="1" applyAlignment="1">
      <alignment horizontal="center" vertical="center" wrapText="1"/>
    </xf>
    <xf numFmtId="165" fontId="6" fillId="0" borderId="10" xfId="1" applyNumberFormat="1" applyFont="1" applyFill="1" applyBorder="1" applyAlignment="1">
      <alignment horizontal="center" vertical="center" wrapText="1"/>
    </xf>
    <xf numFmtId="0" fontId="5" fillId="0" borderId="31" xfId="1" applyFont="1" applyFill="1" applyBorder="1" applyAlignment="1">
      <alignment horizontal="center" vertical="center" wrapText="1"/>
    </xf>
    <xf numFmtId="0" fontId="5" fillId="0" borderId="36" xfId="1" applyFont="1" applyFill="1" applyBorder="1" applyAlignment="1">
      <alignment horizontal="center" vertical="center" wrapText="1"/>
    </xf>
    <xf numFmtId="164" fontId="5" fillId="0" borderId="35" xfId="1" applyNumberFormat="1" applyFont="1" applyFill="1" applyBorder="1" applyAlignment="1">
      <alignment horizontal="center" vertical="center" wrapText="1"/>
    </xf>
    <xf numFmtId="165" fontId="5" fillId="0" borderId="40" xfId="1" applyNumberFormat="1" applyFont="1" applyFill="1" applyBorder="1" applyAlignment="1">
      <alignment horizontal="center" vertical="center" wrapText="1"/>
    </xf>
    <xf numFmtId="0" fontId="5" fillId="0" borderId="41" xfId="1" applyFont="1" applyFill="1" applyBorder="1" applyAlignment="1">
      <alignment horizontal="center" vertical="center" wrapText="1"/>
    </xf>
    <xf numFmtId="164" fontId="5" fillId="0" borderId="41" xfId="1" applyNumberFormat="1" applyFont="1" applyFill="1" applyBorder="1" applyAlignment="1">
      <alignment horizontal="center" vertical="center" wrapText="1"/>
    </xf>
    <xf numFmtId="164" fontId="5" fillId="0" borderId="42" xfId="1" applyNumberFormat="1" applyFont="1" applyFill="1" applyBorder="1" applyAlignment="1">
      <alignment horizontal="center" vertical="center" wrapText="1"/>
    </xf>
    <xf numFmtId="165" fontId="5" fillId="0" borderId="41" xfId="1" applyNumberFormat="1" applyFont="1" applyFill="1" applyBorder="1" applyAlignment="1">
      <alignment horizontal="center" vertical="center" wrapText="1"/>
    </xf>
    <xf numFmtId="165" fontId="5" fillId="0" borderId="13" xfId="1" applyNumberFormat="1" applyFont="1" applyFill="1" applyBorder="1" applyAlignment="1">
      <alignment horizontal="center" vertical="center" wrapText="1"/>
    </xf>
    <xf numFmtId="164" fontId="5" fillId="0" borderId="25" xfId="1" applyNumberFormat="1" applyFont="1" applyFill="1" applyBorder="1" applyAlignment="1">
      <alignment horizontal="center" vertical="center" wrapText="1"/>
    </xf>
    <xf numFmtId="17" fontId="5" fillId="0" borderId="33" xfId="1" applyNumberFormat="1" applyFont="1" applyFill="1" applyBorder="1" applyAlignment="1">
      <alignment horizontal="center" vertical="center" wrapText="1"/>
    </xf>
    <xf numFmtId="17" fontId="5" fillId="0" borderId="8" xfId="1" applyNumberFormat="1" applyFont="1" applyFill="1" applyBorder="1" applyAlignment="1">
      <alignment horizontal="center" vertical="center" wrapText="1"/>
    </xf>
    <xf numFmtId="164" fontId="5" fillId="0" borderId="37" xfId="1" applyNumberFormat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43" xfId="1" applyFont="1" applyFill="1" applyBorder="1" applyAlignment="1">
      <alignment horizontal="center" vertical="center" wrapText="1"/>
    </xf>
    <xf numFmtId="0" fontId="3" fillId="0" borderId="44" xfId="1" applyFont="1" applyFill="1" applyBorder="1" applyAlignment="1">
      <alignment horizontal="center" vertical="center" wrapText="1"/>
    </xf>
    <xf numFmtId="0" fontId="3" fillId="0" borderId="41" xfId="1" applyFont="1" applyFill="1" applyBorder="1" applyAlignment="1">
      <alignment horizontal="center" vertical="center" wrapText="1"/>
    </xf>
    <xf numFmtId="164" fontId="3" fillId="0" borderId="41" xfId="1" applyNumberFormat="1" applyFont="1" applyFill="1" applyBorder="1" applyAlignment="1">
      <alignment horizontal="center" vertical="center" wrapText="1"/>
    </xf>
    <xf numFmtId="164" fontId="3" fillId="0" borderId="45" xfId="1" applyNumberFormat="1" applyFont="1" applyFill="1" applyBorder="1" applyAlignment="1">
      <alignment horizontal="center" vertical="center" wrapText="1"/>
    </xf>
    <xf numFmtId="0" fontId="1" fillId="0" borderId="0" xfId="1" applyFill="1"/>
    <xf numFmtId="0" fontId="3" fillId="0" borderId="46" xfId="1" applyFont="1" applyFill="1" applyBorder="1" applyAlignment="1">
      <alignment vertical="center" wrapText="1"/>
    </xf>
    <xf numFmtId="0" fontId="3" fillId="0" borderId="31" xfId="1" applyFont="1" applyFill="1" applyBorder="1" applyAlignment="1">
      <alignment vertical="center"/>
    </xf>
    <xf numFmtId="0" fontId="3" fillId="0" borderId="40" xfId="1" applyFont="1" applyFill="1" applyBorder="1" applyAlignment="1">
      <alignment vertical="center" wrapText="1"/>
    </xf>
    <xf numFmtId="164" fontId="5" fillId="0" borderId="22" xfId="1" applyNumberFormat="1" applyFont="1" applyFill="1" applyBorder="1" applyAlignment="1">
      <alignment horizontal="center" vertical="center" wrapText="1"/>
    </xf>
    <xf numFmtId="164" fontId="5" fillId="0" borderId="19" xfId="1" applyNumberFormat="1" applyFont="1" applyFill="1" applyBorder="1" applyAlignment="1">
      <alignment vertical="center" wrapText="1"/>
    </xf>
    <xf numFmtId="164" fontId="5" fillId="0" borderId="24" xfId="1" applyNumberFormat="1" applyFont="1" applyFill="1" applyBorder="1" applyAlignment="1">
      <alignment vertical="center" wrapText="1"/>
    </xf>
    <xf numFmtId="164" fontId="5" fillId="0" borderId="47" xfId="1" applyNumberFormat="1" applyFont="1" applyFill="1" applyBorder="1" applyAlignment="1">
      <alignment horizontal="center" vertical="center" wrapText="1"/>
    </xf>
    <xf numFmtId="164" fontId="5" fillId="0" borderId="48" xfId="1" applyNumberFormat="1" applyFont="1" applyFill="1" applyBorder="1" applyAlignment="1">
      <alignment horizontal="center" vertical="center" wrapText="1"/>
    </xf>
    <xf numFmtId="164" fontId="5" fillId="0" borderId="18" xfId="1" applyNumberFormat="1" applyFont="1" applyFill="1" applyBorder="1" applyAlignment="1">
      <alignment horizontal="center" vertical="center" wrapText="1"/>
    </xf>
    <xf numFmtId="164" fontId="6" fillId="0" borderId="22" xfId="1" applyNumberFormat="1" applyFont="1" applyFill="1" applyBorder="1" applyAlignment="1">
      <alignment horizontal="center" vertical="center" wrapText="1"/>
    </xf>
    <xf numFmtId="164" fontId="6" fillId="0" borderId="23" xfId="1" applyNumberFormat="1" applyFont="1" applyFill="1" applyBorder="1" applyAlignment="1">
      <alignment horizontal="center" vertical="center" wrapText="1"/>
    </xf>
    <xf numFmtId="164" fontId="6" fillId="0" borderId="10" xfId="1" applyNumberFormat="1" applyFont="1" applyFill="1" applyBorder="1" applyAlignment="1">
      <alignment horizontal="center" vertical="center" wrapText="1"/>
    </xf>
    <xf numFmtId="0" fontId="5" fillId="0" borderId="50" xfId="1" applyFont="1" applyFill="1" applyBorder="1" applyAlignment="1">
      <alignment horizontal="center" vertical="center" wrapText="1"/>
    </xf>
    <xf numFmtId="165" fontId="6" fillId="0" borderId="21" xfId="1" applyNumberFormat="1" applyFont="1" applyFill="1" applyBorder="1" applyAlignment="1">
      <alignment horizontal="center" vertical="center" wrapText="1"/>
    </xf>
    <xf numFmtId="164" fontId="5" fillId="0" borderId="51" xfId="1" applyNumberFormat="1" applyFont="1" applyFill="1" applyBorder="1" applyAlignment="1">
      <alignment horizontal="center" vertical="center" wrapText="1"/>
    </xf>
    <xf numFmtId="164" fontId="5" fillId="0" borderId="52" xfId="1" applyNumberFormat="1" applyFont="1" applyFill="1" applyBorder="1" applyAlignment="1">
      <alignment horizontal="center" vertical="center" wrapText="1"/>
    </xf>
    <xf numFmtId="0" fontId="5" fillId="0" borderId="39" xfId="1" applyFont="1" applyFill="1" applyBorder="1" applyAlignment="1">
      <alignment horizontal="center" vertical="center" wrapText="1"/>
    </xf>
    <xf numFmtId="164" fontId="5" fillId="0" borderId="40" xfId="1" applyNumberFormat="1" applyFont="1" applyFill="1" applyBorder="1" applyAlignment="1">
      <alignment horizontal="center" vertical="center" wrapText="1"/>
    </xf>
    <xf numFmtId="0" fontId="5" fillId="0" borderId="25" xfId="1" applyFont="1" applyFill="1" applyBorder="1" applyAlignment="1">
      <alignment horizontal="center" vertical="center" wrapText="1"/>
    </xf>
    <xf numFmtId="165" fontId="6" fillId="0" borderId="23" xfId="1" applyNumberFormat="1" applyFont="1" applyFill="1" applyBorder="1" applyAlignment="1">
      <alignment horizontal="center" vertical="center" wrapText="1"/>
    </xf>
    <xf numFmtId="0" fontId="5" fillId="0" borderId="48" xfId="1" applyFont="1" applyFill="1" applyBorder="1" applyAlignment="1">
      <alignment horizontal="center" vertical="center" wrapText="1"/>
    </xf>
    <xf numFmtId="164" fontId="5" fillId="0" borderId="30" xfId="1" applyNumberFormat="1" applyFont="1" applyFill="1" applyBorder="1" applyAlignment="1">
      <alignment horizontal="center" vertical="center" wrapText="1"/>
    </xf>
    <xf numFmtId="165" fontId="5" fillId="0" borderId="47" xfId="1" applyNumberFormat="1" applyFont="1" applyFill="1" applyBorder="1" applyAlignment="1">
      <alignment horizontal="center" vertical="center" wrapText="1"/>
    </xf>
    <xf numFmtId="165" fontId="5" fillId="0" borderId="52" xfId="1" applyNumberFormat="1" applyFont="1" applyFill="1" applyBorder="1" applyAlignment="1">
      <alignment horizontal="center" vertical="center" wrapText="1"/>
    </xf>
    <xf numFmtId="0" fontId="5" fillId="0" borderId="18" xfId="1" applyFont="1" applyFill="1" applyBorder="1" applyAlignment="1">
      <alignment horizontal="center" vertical="center" wrapText="1"/>
    </xf>
    <xf numFmtId="164" fontId="6" fillId="0" borderId="18" xfId="1" applyNumberFormat="1" applyFont="1" applyFill="1" applyBorder="1" applyAlignment="1">
      <alignment horizontal="center" vertical="center" wrapText="1"/>
    </xf>
    <xf numFmtId="165" fontId="5" fillId="0" borderId="18" xfId="1" applyNumberFormat="1" applyFont="1" applyFill="1" applyBorder="1" applyAlignment="1">
      <alignment horizontal="center" vertical="center" wrapText="1"/>
    </xf>
    <xf numFmtId="165" fontId="6" fillId="0" borderId="53" xfId="1" applyNumberFormat="1" applyFont="1" applyFill="1" applyBorder="1" applyAlignment="1">
      <alignment horizontal="center" vertical="center" wrapText="1"/>
    </xf>
    <xf numFmtId="164" fontId="6" fillId="0" borderId="8" xfId="1" applyNumberFormat="1" applyFont="1" applyFill="1" applyBorder="1" applyAlignment="1">
      <alignment horizontal="center" vertical="center" wrapText="1"/>
    </xf>
    <xf numFmtId="165" fontId="6" fillId="0" borderId="37" xfId="1" applyNumberFormat="1" applyFont="1" applyFill="1" applyBorder="1" applyAlignment="1">
      <alignment horizontal="center" vertical="center" wrapText="1"/>
    </xf>
    <xf numFmtId="0" fontId="5" fillId="0" borderId="44" xfId="1" applyFont="1" applyFill="1" applyBorder="1" applyAlignment="1">
      <alignment horizontal="center" vertical="center" wrapText="1"/>
    </xf>
    <xf numFmtId="0" fontId="5" fillId="0" borderId="54" xfId="1" applyFont="1" applyFill="1" applyBorder="1" applyAlignment="1">
      <alignment horizontal="center" vertical="center" wrapText="1"/>
    </xf>
    <xf numFmtId="164" fontId="5" fillId="0" borderId="45" xfId="1" applyNumberFormat="1" applyFont="1" applyFill="1" applyBorder="1" applyAlignment="1">
      <alignment horizontal="center" vertical="center" wrapText="1"/>
    </xf>
    <xf numFmtId="165" fontId="5" fillId="0" borderId="51" xfId="1" applyNumberFormat="1" applyFont="1" applyFill="1" applyBorder="1" applyAlignment="1">
      <alignment horizontal="center" vertical="center" wrapText="1"/>
    </xf>
    <xf numFmtId="165" fontId="5" fillId="0" borderId="50" xfId="1" applyNumberFormat="1" applyFont="1" applyFill="1" applyBorder="1" applyAlignment="1">
      <alignment horizontal="center" vertical="center" wrapText="1"/>
    </xf>
    <xf numFmtId="164" fontId="5" fillId="0" borderId="53" xfId="1" applyNumberFormat="1" applyFont="1" applyFill="1" applyBorder="1" applyAlignment="1">
      <alignment horizontal="center" vertical="center" wrapText="1"/>
    </xf>
    <xf numFmtId="0" fontId="10" fillId="0" borderId="0" xfId="1" applyFont="1" applyFill="1" applyAlignment="1">
      <alignment horizontal="left"/>
    </xf>
    <xf numFmtId="0" fontId="10" fillId="0" borderId="0" xfId="1" applyFont="1" applyFill="1" applyBorder="1"/>
    <xf numFmtId="0" fontId="10" fillId="0" borderId="0" xfId="1" applyFont="1" applyFill="1"/>
    <xf numFmtId="164" fontId="5" fillId="0" borderId="41" xfId="0" applyNumberFormat="1" applyFont="1" applyFill="1" applyBorder="1" applyAlignment="1">
      <alignment horizontal="center" vertical="center" wrapText="1"/>
    </xf>
    <xf numFmtId="164" fontId="5" fillId="0" borderId="45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0" fontId="14" fillId="0" borderId="0" xfId="0" applyFont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14" fillId="0" borderId="0" xfId="0" applyFont="1"/>
    <xf numFmtId="0" fontId="17" fillId="0" borderId="40" xfId="0" applyFont="1" applyBorder="1" applyAlignment="1">
      <alignment horizontal="right" vertical="center" wrapText="1"/>
    </xf>
    <xf numFmtId="4" fontId="17" fillId="0" borderId="40" xfId="0" applyNumberFormat="1" applyFont="1" applyBorder="1" applyAlignment="1">
      <alignment horizontal="right" vertical="center" wrapText="1"/>
    </xf>
    <xf numFmtId="3" fontId="5" fillId="0" borderId="40" xfId="0" applyNumberFormat="1" applyFont="1" applyBorder="1" applyAlignment="1">
      <alignment horizontal="right" vertical="center" wrapText="1"/>
    </xf>
    <xf numFmtId="0" fontId="3" fillId="0" borderId="0" xfId="1" applyFont="1" applyFill="1" applyAlignment="1">
      <alignment horizontal="center" vertical="center" wrapText="1"/>
    </xf>
    <xf numFmtId="0" fontId="3" fillId="0" borderId="0" xfId="2" applyFont="1" applyFill="1" applyAlignment="1">
      <alignment horizontal="center" vertical="center" wrapText="1"/>
    </xf>
    <xf numFmtId="0" fontId="3" fillId="0" borderId="0" xfId="2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3" fillId="0" borderId="6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8" xfId="2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0" borderId="13" xfId="1" applyFont="1" applyFill="1" applyBorder="1" applyAlignment="1">
      <alignment horizontal="center" vertical="center"/>
    </xf>
    <xf numFmtId="0" fontId="5" fillId="0" borderId="14" xfId="1" applyFont="1" applyFill="1" applyBorder="1" applyAlignment="1">
      <alignment horizontal="center" vertical="center" wrapText="1"/>
    </xf>
    <xf numFmtId="0" fontId="5" fillId="0" borderId="16" xfId="1" applyFont="1" applyFill="1" applyBorder="1" applyAlignment="1">
      <alignment horizontal="center" vertical="center" wrapText="1"/>
    </xf>
    <xf numFmtId="0" fontId="5" fillId="0" borderId="3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17" xfId="1" applyFont="1" applyFill="1" applyBorder="1" applyAlignment="1">
      <alignment horizontal="center" vertical="center" wrapText="1"/>
    </xf>
    <xf numFmtId="0" fontId="5" fillId="0" borderId="25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18" xfId="1" applyFont="1" applyFill="1" applyBorder="1" applyAlignment="1">
      <alignment horizontal="center" vertical="center" wrapText="1"/>
    </xf>
    <xf numFmtId="0" fontId="5" fillId="0" borderId="20" xfId="1" applyFont="1" applyFill="1" applyBorder="1" applyAlignment="1">
      <alignment horizontal="center" vertical="center" wrapText="1"/>
    </xf>
    <xf numFmtId="164" fontId="5" fillId="0" borderId="4" xfId="1" applyNumberFormat="1" applyFont="1" applyFill="1" applyBorder="1" applyAlignment="1">
      <alignment horizontal="center" vertical="center" wrapText="1"/>
    </xf>
    <xf numFmtId="164" fontId="5" fillId="0" borderId="18" xfId="1" applyNumberFormat="1" applyFont="1" applyFill="1" applyBorder="1" applyAlignment="1">
      <alignment horizontal="center" vertical="center" wrapText="1"/>
    </xf>
    <xf numFmtId="164" fontId="5" fillId="0" borderId="20" xfId="1" applyNumberFormat="1" applyFont="1" applyFill="1" applyBorder="1" applyAlignment="1">
      <alignment horizontal="center" vertical="center" wrapText="1"/>
    </xf>
    <xf numFmtId="164" fontId="5" fillId="0" borderId="15" xfId="1" applyNumberFormat="1" applyFont="1" applyFill="1" applyBorder="1" applyAlignment="1">
      <alignment horizontal="center" vertical="center" wrapText="1"/>
    </xf>
    <xf numFmtId="164" fontId="5" fillId="0" borderId="21" xfId="1" applyNumberFormat="1" applyFont="1" applyFill="1" applyBorder="1" applyAlignment="1">
      <alignment horizontal="center" vertical="center" wrapText="1"/>
    </xf>
    <xf numFmtId="0" fontId="5" fillId="0" borderId="19" xfId="1" applyFont="1" applyFill="1" applyBorder="1" applyAlignment="1">
      <alignment horizontal="center" vertical="center" wrapText="1"/>
    </xf>
    <xf numFmtId="0" fontId="5" fillId="0" borderId="26" xfId="1" applyFont="1" applyFill="1" applyBorder="1" applyAlignment="1">
      <alignment horizontal="center" vertical="center" wrapText="1"/>
    </xf>
    <xf numFmtId="0" fontId="5" fillId="0" borderId="28" xfId="1" applyFont="1" applyFill="1" applyBorder="1" applyAlignment="1">
      <alignment horizontal="center" vertical="center" wrapText="1"/>
    </xf>
    <xf numFmtId="164" fontId="5" fillId="0" borderId="22" xfId="1" applyNumberFormat="1" applyFont="1" applyFill="1" applyBorder="1" applyAlignment="1">
      <alignment horizontal="center" vertical="center" wrapText="1"/>
    </xf>
    <xf numFmtId="164" fontId="5" fillId="0" borderId="19" xfId="1" applyNumberFormat="1" applyFont="1" applyFill="1" applyBorder="1" applyAlignment="1">
      <alignment horizontal="center" vertical="center" wrapText="1"/>
    </xf>
    <xf numFmtId="0" fontId="5" fillId="0" borderId="22" xfId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>
      <alignment horizontal="center" vertical="center" wrapText="1"/>
    </xf>
    <xf numFmtId="0" fontId="5" fillId="0" borderId="27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32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35" xfId="1" applyFont="1" applyFill="1" applyBorder="1" applyAlignment="1">
      <alignment horizontal="center" vertical="center" wrapText="1"/>
    </xf>
    <xf numFmtId="0" fontId="5" fillId="0" borderId="36" xfId="1" applyFont="1" applyFill="1" applyBorder="1" applyAlignment="1">
      <alignment horizontal="center" vertical="center" wrapText="1"/>
    </xf>
    <xf numFmtId="0" fontId="5" fillId="0" borderId="38" xfId="1" applyFont="1" applyFill="1" applyBorder="1" applyAlignment="1">
      <alignment horizontal="center" vertical="center" wrapText="1"/>
    </xf>
    <xf numFmtId="165" fontId="5" fillId="0" borderId="26" xfId="1" applyNumberFormat="1" applyFont="1" applyFill="1" applyBorder="1" applyAlignment="1">
      <alignment horizontal="center" vertical="center" wrapText="1"/>
    </xf>
    <xf numFmtId="165" fontId="5" fillId="0" borderId="28" xfId="1" applyNumberFormat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0" fontId="5" fillId="0" borderId="39" xfId="1" applyFont="1" applyFill="1" applyBorder="1" applyAlignment="1">
      <alignment horizontal="center" vertical="center" wrapText="1"/>
    </xf>
    <xf numFmtId="0" fontId="5" fillId="0" borderId="1" xfId="3" applyNumberFormat="1" applyFont="1" applyFill="1" applyBorder="1" applyAlignment="1">
      <alignment horizontal="center" vertical="center" wrapText="1"/>
    </xf>
    <xf numFmtId="0" fontId="5" fillId="0" borderId="32" xfId="3" applyNumberFormat="1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164" fontId="5" fillId="0" borderId="8" xfId="1" applyNumberFormat="1" applyFont="1" applyFill="1" applyBorder="1" applyAlignment="1">
      <alignment horizontal="center" vertical="center" wrapText="1"/>
    </xf>
    <xf numFmtId="165" fontId="5" fillId="0" borderId="4" xfId="1" applyNumberFormat="1" applyFont="1" applyFill="1" applyBorder="1" applyAlignment="1">
      <alignment horizontal="center" vertical="center" wrapText="1"/>
    </xf>
    <xf numFmtId="165" fontId="5" fillId="0" borderId="8" xfId="1" applyNumberFormat="1" applyFont="1" applyFill="1" applyBorder="1" applyAlignment="1">
      <alignment horizontal="center" vertical="center" wrapText="1"/>
    </xf>
    <xf numFmtId="165" fontId="5" fillId="0" borderId="19" xfId="1" applyNumberFormat="1" applyFont="1" applyFill="1" applyBorder="1" applyAlignment="1">
      <alignment horizontal="center" vertical="center" wrapText="1"/>
    </xf>
    <xf numFmtId="164" fontId="5" fillId="0" borderId="24" xfId="1" applyNumberFormat="1" applyFont="1" applyFill="1" applyBorder="1" applyAlignment="1">
      <alignment horizontal="center" vertical="center" wrapText="1"/>
    </xf>
    <xf numFmtId="164" fontId="5" fillId="0" borderId="23" xfId="1" applyNumberFormat="1" applyFont="1" applyFill="1" applyBorder="1" applyAlignment="1">
      <alignment horizontal="center" vertical="center" wrapText="1"/>
    </xf>
    <xf numFmtId="0" fontId="5" fillId="0" borderId="48" xfId="1" applyFont="1" applyFill="1" applyBorder="1" applyAlignment="1">
      <alignment horizontal="center" vertical="center" wrapText="1"/>
    </xf>
    <xf numFmtId="0" fontId="5" fillId="0" borderId="49" xfId="1" applyFont="1" applyFill="1" applyBorder="1" applyAlignment="1">
      <alignment horizontal="center" vertical="center" wrapText="1"/>
    </xf>
    <xf numFmtId="0" fontId="5" fillId="0" borderId="51" xfId="1" applyFont="1" applyFill="1" applyBorder="1" applyAlignment="1">
      <alignment horizontal="center" vertical="center" wrapText="1"/>
    </xf>
    <xf numFmtId="0" fontId="5" fillId="0" borderId="50" xfId="1" applyFont="1" applyFill="1" applyBorder="1" applyAlignment="1">
      <alignment horizontal="center" vertical="center" wrapText="1"/>
    </xf>
    <xf numFmtId="164" fontId="5" fillId="0" borderId="26" xfId="1" applyNumberFormat="1" applyFont="1" applyFill="1" applyBorder="1" applyAlignment="1">
      <alignment horizontal="center" vertical="center" wrapText="1"/>
    </xf>
    <xf numFmtId="164" fontId="5" fillId="0" borderId="28" xfId="1" applyNumberFormat="1" applyFont="1" applyFill="1" applyBorder="1" applyAlignment="1">
      <alignment horizontal="center" vertical="center" wrapText="1"/>
    </xf>
    <xf numFmtId="165" fontId="5" fillId="0" borderId="22" xfId="1" applyNumberFormat="1" applyFont="1" applyFill="1" applyBorder="1" applyAlignment="1">
      <alignment horizontal="center" vertical="center" wrapText="1"/>
    </xf>
    <xf numFmtId="165" fontId="5" fillId="0" borderId="20" xfId="1" applyNumberFormat="1" applyFont="1" applyFill="1" applyBorder="1" applyAlignment="1">
      <alignment horizontal="center" vertical="center" wrapText="1"/>
    </xf>
    <xf numFmtId="0" fontId="5" fillId="0" borderId="6" xfId="3" applyNumberFormat="1" applyFont="1" applyFill="1" applyBorder="1" applyAlignment="1">
      <alignment horizontal="center" vertical="center" wrapText="1"/>
    </xf>
    <xf numFmtId="165" fontId="5" fillId="0" borderId="15" xfId="1" applyNumberFormat="1" applyFont="1" applyFill="1" applyBorder="1" applyAlignment="1">
      <alignment horizontal="center" vertical="center" wrapText="1"/>
    </xf>
    <xf numFmtId="165" fontId="5" fillId="0" borderId="21" xfId="1" applyNumberFormat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55" xfId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4" fontId="16" fillId="0" borderId="40" xfId="0" applyNumberFormat="1" applyFont="1" applyBorder="1" applyAlignment="1">
      <alignment horizontal="right" vertical="center" wrapText="1"/>
    </xf>
    <xf numFmtId="0" fontId="16" fillId="0" borderId="40" xfId="0" applyFont="1" applyBorder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46" xfId="0" applyFont="1" applyBorder="1" applyAlignment="1">
      <alignment vertical="center"/>
    </xf>
    <xf numFmtId="0" fontId="15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6" fillId="0" borderId="11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17" fillId="0" borderId="13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</cellXfs>
  <cellStyles count="8">
    <cellStyle name="Обычный" xfId="0" builtinId="0"/>
    <cellStyle name="Обычный 2" xfId="1"/>
    <cellStyle name="Обычный 2 10" xfId="4"/>
    <cellStyle name="Обычный 2 2" xfId="2"/>
    <cellStyle name="Обычный 29" xfId="5"/>
    <cellStyle name="Обычный 3" xfId="6"/>
    <cellStyle name="Обычный 4" xfId="7"/>
    <cellStyle name="Обычный_Бизнес-план 2005 г. (РВК)1 экспериментальн 2 со 2 квартала_1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2:K347"/>
  <sheetViews>
    <sheetView tabSelected="1" topLeftCell="A312" zoomScale="60" zoomScaleNormal="60" workbookViewId="0">
      <selection activeCell="I336" sqref="I336"/>
    </sheetView>
  </sheetViews>
  <sheetFormatPr defaultRowHeight="15" x14ac:dyDescent="0.25"/>
  <cols>
    <col min="1" max="1" width="9.140625" style="27"/>
    <col min="2" max="2" width="45.5703125" style="27" customWidth="1"/>
    <col min="3" max="3" width="20.5703125" style="27" customWidth="1"/>
    <col min="4" max="4" width="15.7109375" style="27" customWidth="1"/>
    <col min="5" max="5" width="17.42578125" style="27" customWidth="1"/>
    <col min="6" max="6" width="18.28515625" style="27" customWidth="1"/>
    <col min="7" max="7" width="14.85546875" style="27" customWidth="1"/>
    <col min="8" max="8" width="17" style="27" customWidth="1"/>
    <col min="9" max="9" width="19.85546875" style="27" customWidth="1"/>
    <col min="10" max="11" width="16.85546875" style="27" customWidth="1"/>
    <col min="12" max="16384" width="9.140625" style="1"/>
  </cols>
  <sheetData>
    <row r="2" spans="2:11" ht="15.75" x14ac:dyDescent="0.25">
      <c r="B2" s="124" t="s">
        <v>0</v>
      </c>
      <c r="C2" s="124"/>
      <c r="D2" s="124"/>
      <c r="E2" s="124"/>
      <c r="F2" s="124"/>
      <c r="G2" s="124"/>
      <c r="H2" s="124"/>
      <c r="I2" s="124"/>
      <c r="J2" s="124"/>
      <c r="K2" s="124"/>
    </row>
    <row r="3" spans="2:11" ht="15.75" x14ac:dyDescent="0.25">
      <c r="B3" s="125" t="s">
        <v>1</v>
      </c>
      <c r="C3" s="125"/>
      <c r="D3" s="125"/>
      <c r="E3" s="125"/>
      <c r="F3" s="125"/>
      <c r="G3" s="125"/>
      <c r="H3" s="125"/>
      <c r="I3" s="125"/>
      <c r="J3" s="125"/>
      <c r="K3" s="125"/>
    </row>
    <row r="4" spans="2:11" ht="15.75" x14ac:dyDescent="0.25">
      <c r="B4" s="126" t="s">
        <v>2</v>
      </c>
      <c r="C4" s="126"/>
      <c r="D4" s="126"/>
      <c r="E4" s="126"/>
      <c r="F4" s="126"/>
      <c r="G4" s="126"/>
      <c r="H4" s="126"/>
      <c r="I4" s="126"/>
      <c r="J4" s="126"/>
      <c r="K4" s="126"/>
    </row>
    <row r="5" spans="2:11" ht="16.5" thickBot="1" x14ac:dyDescent="0.3">
      <c r="B5" s="2"/>
      <c r="C5" s="2"/>
      <c r="D5" s="2"/>
      <c r="E5" s="2"/>
      <c r="F5" s="2"/>
      <c r="G5" s="2"/>
      <c r="H5" s="2"/>
      <c r="I5" s="2"/>
      <c r="J5" s="2"/>
      <c r="K5" s="2"/>
    </row>
    <row r="6" spans="2:11" ht="15.75" x14ac:dyDescent="0.25">
      <c r="B6" s="127" t="s">
        <v>3</v>
      </c>
      <c r="C6" s="129" t="s">
        <v>4</v>
      </c>
      <c r="D6" s="130"/>
      <c r="E6" s="131" t="s">
        <v>5</v>
      </c>
      <c r="F6" s="131" t="s">
        <v>6</v>
      </c>
      <c r="G6" s="133" t="s">
        <v>7</v>
      </c>
      <c r="H6" s="134"/>
      <c r="I6" s="135" t="s">
        <v>8</v>
      </c>
      <c r="J6" s="137" t="s">
        <v>9</v>
      </c>
      <c r="K6" s="138"/>
    </row>
    <row r="7" spans="2:11" ht="32.25" thickBot="1" x14ac:dyDescent="0.3">
      <c r="B7" s="128"/>
      <c r="C7" s="3" t="s">
        <v>10</v>
      </c>
      <c r="D7" s="3" t="s">
        <v>11</v>
      </c>
      <c r="E7" s="132"/>
      <c r="F7" s="132"/>
      <c r="G7" s="4" t="s">
        <v>12</v>
      </c>
      <c r="H7" s="5" t="s">
        <v>13</v>
      </c>
      <c r="I7" s="136"/>
      <c r="J7" s="4" t="s">
        <v>12</v>
      </c>
      <c r="K7" s="6" t="s">
        <v>13</v>
      </c>
    </row>
    <row r="8" spans="2:11" ht="16.5" thickBot="1" x14ac:dyDescent="0.3">
      <c r="B8" s="139" t="s">
        <v>14</v>
      </c>
      <c r="C8" s="140"/>
      <c r="D8" s="140"/>
      <c r="E8" s="140"/>
      <c r="F8" s="140"/>
      <c r="G8" s="140"/>
      <c r="H8" s="140"/>
      <c r="I8" s="140"/>
      <c r="J8" s="140"/>
      <c r="K8" s="141"/>
    </row>
    <row r="9" spans="2:11" ht="30" x14ac:dyDescent="0.25">
      <c r="B9" s="142" t="s">
        <v>15</v>
      </c>
      <c r="C9" s="145" t="s">
        <v>16</v>
      </c>
      <c r="D9" s="148" t="s">
        <v>17</v>
      </c>
      <c r="E9" s="151">
        <f>13830581/1000</f>
        <v>13830.581</v>
      </c>
      <c r="F9" s="151">
        <f>H9+H10+H11+H12+H13</f>
        <v>5933.3467499999997</v>
      </c>
      <c r="G9" s="7" t="s">
        <v>18</v>
      </c>
      <c r="H9" s="8">
        <f>3883661.86/1000</f>
        <v>3883.6618599999997</v>
      </c>
      <c r="I9" s="151">
        <f>K9+K11+K12</f>
        <v>2049.6848862000002</v>
      </c>
      <c r="J9" s="151" t="s">
        <v>19</v>
      </c>
      <c r="K9" s="154">
        <v>2049.6848862000002</v>
      </c>
    </row>
    <row r="10" spans="2:11" ht="30" x14ac:dyDescent="0.25">
      <c r="B10" s="143"/>
      <c r="C10" s="146"/>
      <c r="D10" s="149"/>
      <c r="E10" s="152"/>
      <c r="F10" s="152"/>
      <c r="G10" s="9" t="s">
        <v>20</v>
      </c>
      <c r="H10" s="10">
        <f>2049684.89/1000</f>
        <v>2049.68489</v>
      </c>
      <c r="I10" s="152"/>
      <c r="J10" s="153"/>
      <c r="K10" s="155"/>
    </row>
    <row r="11" spans="2:11" hidden="1" x14ac:dyDescent="0.25">
      <c r="B11" s="143"/>
      <c r="C11" s="146"/>
      <c r="D11" s="149"/>
      <c r="E11" s="152"/>
      <c r="F11" s="152"/>
      <c r="G11" s="11"/>
      <c r="H11" s="12"/>
      <c r="I11" s="152"/>
      <c r="J11" s="13"/>
      <c r="K11" s="14"/>
    </row>
    <row r="12" spans="2:11" hidden="1" x14ac:dyDescent="0.25">
      <c r="B12" s="143"/>
      <c r="C12" s="146"/>
      <c r="D12" s="149"/>
      <c r="E12" s="152"/>
      <c r="F12" s="152"/>
      <c r="G12" s="11"/>
      <c r="H12" s="12"/>
      <c r="I12" s="152"/>
      <c r="J12" s="10"/>
      <c r="K12" s="15"/>
    </row>
    <row r="13" spans="2:11" hidden="1" x14ac:dyDescent="0.25">
      <c r="B13" s="143"/>
      <c r="C13" s="147"/>
      <c r="D13" s="150"/>
      <c r="E13" s="153"/>
      <c r="F13" s="153"/>
      <c r="G13" s="11"/>
      <c r="H13" s="12"/>
      <c r="I13" s="153"/>
      <c r="J13" s="11"/>
      <c r="K13" s="16"/>
    </row>
    <row r="14" spans="2:11" ht="30" x14ac:dyDescent="0.25">
      <c r="B14" s="143"/>
      <c r="C14" s="156" t="s">
        <v>21</v>
      </c>
      <c r="D14" s="157" t="s">
        <v>22</v>
      </c>
      <c r="E14" s="159" t="s">
        <v>23</v>
      </c>
      <c r="F14" s="160">
        <f>H14+H15+H16+H17+H18+H19</f>
        <v>128.636</v>
      </c>
      <c r="G14" s="11" t="s">
        <v>24</v>
      </c>
      <c r="H14" s="12">
        <f>128636/1000</f>
        <v>128.636</v>
      </c>
      <c r="I14" s="159">
        <f>K14+K15+K16+K17+K18+K19+K20</f>
        <v>0</v>
      </c>
      <c r="J14" s="17" t="s">
        <v>25</v>
      </c>
      <c r="K14" s="18">
        <v>0</v>
      </c>
    </row>
    <row r="15" spans="2:11" hidden="1" x14ac:dyDescent="0.25">
      <c r="B15" s="143"/>
      <c r="C15" s="156"/>
      <c r="D15" s="158"/>
      <c r="E15" s="152"/>
      <c r="F15" s="160"/>
      <c r="G15" s="11"/>
      <c r="H15" s="12"/>
      <c r="I15" s="152"/>
      <c r="J15" s="12"/>
      <c r="K15" s="18"/>
    </row>
    <row r="16" spans="2:11" hidden="1" x14ac:dyDescent="0.25">
      <c r="B16" s="143"/>
      <c r="C16" s="156"/>
      <c r="D16" s="158"/>
      <c r="E16" s="152"/>
      <c r="F16" s="160"/>
      <c r="G16" s="11"/>
      <c r="H16" s="12"/>
      <c r="I16" s="152"/>
      <c r="J16" s="12"/>
      <c r="K16" s="18"/>
    </row>
    <row r="17" spans="2:11" hidden="1" x14ac:dyDescent="0.25">
      <c r="B17" s="143"/>
      <c r="C17" s="156"/>
      <c r="D17" s="158"/>
      <c r="E17" s="152"/>
      <c r="F17" s="160"/>
      <c r="G17" s="11"/>
      <c r="H17" s="12"/>
      <c r="I17" s="152"/>
      <c r="J17" s="12"/>
      <c r="K17" s="18"/>
    </row>
    <row r="18" spans="2:11" hidden="1" x14ac:dyDescent="0.25">
      <c r="B18" s="143"/>
      <c r="C18" s="156"/>
      <c r="D18" s="158"/>
      <c r="E18" s="152"/>
      <c r="F18" s="160"/>
      <c r="G18" s="9"/>
      <c r="H18" s="19"/>
      <c r="I18" s="152"/>
      <c r="J18" s="12"/>
      <c r="K18" s="18"/>
    </row>
    <row r="19" spans="2:11" hidden="1" x14ac:dyDescent="0.25">
      <c r="B19" s="143"/>
      <c r="C19" s="156"/>
      <c r="D19" s="158"/>
      <c r="E19" s="152"/>
      <c r="F19" s="160"/>
      <c r="G19" s="9"/>
      <c r="H19" s="19"/>
      <c r="I19" s="152"/>
      <c r="J19" s="12"/>
      <c r="K19" s="18"/>
    </row>
    <row r="20" spans="2:11" hidden="1" x14ac:dyDescent="0.25">
      <c r="B20" s="143"/>
      <c r="C20" s="156"/>
      <c r="D20" s="158"/>
      <c r="E20" s="152"/>
      <c r="F20" s="160"/>
      <c r="G20" s="11"/>
      <c r="H20" s="11"/>
      <c r="I20" s="152"/>
      <c r="J20" s="12"/>
      <c r="K20" s="18"/>
    </row>
    <row r="21" spans="2:11" ht="30" hidden="1" x14ac:dyDescent="0.25">
      <c r="B21" s="143"/>
      <c r="C21" s="9" t="s">
        <v>26</v>
      </c>
      <c r="D21" s="9" t="s">
        <v>27</v>
      </c>
      <c r="E21" s="9" t="s">
        <v>25</v>
      </c>
      <c r="F21" s="12">
        <f t="shared" ref="F21:F36" si="0">H21</f>
        <v>0</v>
      </c>
      <c r="G21" s="10"/>
      <c r="H21" s="10"/>
      <c r="I21" s="20">
        <f t="shared" ref="I21:I37" si="1">K21</f>
        <v>0</v>
      </c>
      <c r="J21" s="12"/>
      <c r="K21" s="18"/>
    </row>
    <row r="22" spans="2:11" ht="39" customHeight="1" x14ac:dyDescent="0.25">
      <c r="B22" s="143"/>
      <c r="C22" s="161" t="s">
        <v>28</v>
      </c>
      <c r="D22" s="161" t="s">
        <v>29</v>
      </c>
      <c r="E22" s="159">
        <f>22690000/1000</f>
        <v>22690</v>
      </c>
      <c r="F22" s="159">
        <f>H22+H23</f>
        <v>15858.74142</v>
      </c>
      <c r="G22" s="11" t="s">
        <v>30</v>
      </c>
      <c r="H22" s="10">
        <f>12562210.89/1000</f>
        <v>12562.21089</v>
      </c>
      <c r="I22" s="159">
        <f>K22+K23</f>
        <v>3296.53053</v>
      </c>
      <c r="J22" s="10" t="s">
        <v>31</v>
      </c>
      <c r="K22" s="15">
        <f>3296530.53/1000</f>
        <v>3296.53053</v>
      </c>
    </row>
    <row r="23" spans="2:11" ht="32.25" customHeight="1" x14ac:dyDescent="0.25">
      <c r="B23" s="143"/>
      <c r="C23" s="150"/>
      <c r="D23" s="150"/>
      <c r="E23" s="153"/>
      <c r="F23" s="153"/>
      <c r="G23" s="9" t="s">
        <v>32</v>
      </c>
      <c r="H23" s="10">
        <f>3296530.53/1000</f>
        <v>3296.53053</v>
      </c>
      <c r="I23" s="153"/>
      <c r="J23" s="17" t="s">
        <v>25</v>
      </c>
      <c r="K23" s="15">
        <v>0</v>
      </c>
    </row>
    <row r="24" spans="2:11" ht="60" customHeight="1" x14ac:dyDescent="0.25">
      <c r="B24" s="143"/>
      <c r="C24" s="9" t="s">
        <v>33</v>
      </c>
      <c r="D24" s="17" t="s">
        <v>25</v>
      </c>
      <c r="E24" s="10" t="s">
        <v>25</v>
      </c>
      <c r="F24" s="21">
        <f t="shared" si="0"/>
        <v>18.7502</v>
      </c>
      <c r="G24" s="9" t="s">
        <v>34</v>
      </c>
      <c r="H24" s="19">
        <f>18750.2/1000</f>
        <v>18.7502</v>
      </c>
      <c r="I24" s="20">
        <f>K24</f>
        <v>0</v>
      </c>
      <c r="J24" s="17" t="s">
        <v>25</v>
      </c>
      <c r="K24" s="15">
        <v>0</v>
      </c>
    </row>
    <row r="25" spans="2:11" ht="32.25" customHeight="1" x14ac:dyDescent="0.25">
      <c r="B25" s="143"/>
      <c r="C25" s="146" t="s">
        <v>35</v>
      </c>
      <c r="D25" s="158"/>
      <c r="E25" s="11" t="s">
        <v>25</v>
      </c>
      <c r="F25" s="12">
        <f t="shared" si="0"/>
        <v>90.546902854199999</v>
      </c>
      <c r="G25" s="11" t="s">
        <v>25</v>
      </c>
      <c r="H25" s="12">
        <f>90546.9028542/1000</f>
        <v>90.546902854199999</v>
      </c>
      <c r="I25" s="12">
        <f t="shared" si="1"/>
        <v>100.85817999999999</v>
      </c>
      <c r="J25" s="11" t="s">
        <v>25</v>
      </c>
      <c r="K25" s="18">
        <f>100858.18/1000</f>
        <v>100.85817999999999</v>
      </c>
    </row>
    <row r="26" spans="2:11" ht="32.25" customHeight="1" x14ac:dyDescent="0.25">
      <c r="B26" s="143"/>
      <c r="C26" s="162" t="s">
        <v>36</v>
      </c>
      <c r="D26" s="157"/>
      <c r="E26" s="22" t="s">
        <v>25</v>
      </c>
      <c r="F26" s="10">
        <f t="shared" si="0"/>
        <v>100.30379947860899</v>
      </c>
      <c r="G26" s="9" t="s">
        <v>25</v>
      </c>
      <c r="H26" s="10">
        <f>100303.799478609/1000</f>
        <v>100.30379947860899</v>
      </c>
      <c r="I26" s="10">
        <f t="shared" si="1"/>
        <v>75.132429999999999</v>
      </c>
      <c r="J26" s="9" t="s">
        <v>25</v>
      </c>
      <c r="K26" s="15">
        <f>75132.43/1000</f>
        <v>75.132429999999999</v>
      </c>
    </row>
    <row r="27" spans="2:11" ht="30.75" customHeight="1" x14ac:dyDescent="0.25">
      <c r="B27" s="143"/>
      <c r="C27" s="163" t="s">
        <v>37</v>
      </c>
      <c r="D27" s="164"/>
      <c r="E27" s="9" t="s">
        <v>25</v>
      </c>
      <c r="F27" s="10">
        <f t="shared" si="0"/>
        <v>66.060374878063513</v>
      </c>
      <c r="G27" s="9" t="s">
        <v>25</v>
      </c>
      <c r="H27" s="10">
        <f>66060.3748780635/1000</f>
        <v>66.060374878063513</v>
      </c>
      <c r="I27" s="10">
        <f t="shared" si="1"/>
        <v>64.594769999999997</v>
      </c>
      <c r="J27" s="9" t="s">
        <v>25</v>
      </c>
      <c r="K27" s="15">
        <f>64594.77/1000</f>
        <v>64.594769999999997</v>
      </c>
    </row>
    <row r="28" spans="2:11" ht="31.5" customHeight="1" x14ac:dyDescent="0.25">
      <c r="B28" s="143"/>
      <c r="C28" s="162" t="s">
        <v>38</v>
      </c>
      <c r="D28" s="157"/>
      <c r="E28" s="9" t="s">
        <v>25</v>
      </c>
      <c r="F28" s="10">
        <f t="shared" si="0"/>
        <v>66.856733772330202</v>
      </c>
      <c r="G28" s="9" t="s">
        <v>25</v>
      </c>
      <c r="H28" s="10">
        <f>66856.7337723302/1000</f>
        <v>66.856733772330202</v>
      </c>
      <c r="I28" s="10">
        <f t="shared" si="1"/>
        <v>79.627960000000002</v>
      </c>
      <c r="J28" s="9" t="s">
        <v>25</v>
      </c>
      <c r="K28" s="15">
        <f>79627.96/1000</f>
        <v>79.627960000000002</v>
      </c>
    </row>
    <row r="29" spans="2:11" ht="30" customHeight="1" x14ac:dyDescent="0.25">
      <c r="B29" s="143"/>
      <c r="C29" s="162" t="s">
        <v>39</v>
      </c>
      <c r="D29" s="157"/>
      <c r="E29" s="9" t="s">
        <v>25</v>
      </c>
      <c r="F29" s="10">
        <f t="shared" si="0"/>
        <v>70.150463831313488</v>
      </c>
      <c r="G29" s="9" t="s">
        <v>25</v>
      </c>
      <c r="H29" s="10">
        <f>70150.4638313135/1000</f>
        <v>70.150463831313488</v>
      </c>
      <c r="I29" s="10">
        <f t="shared" si="1"/>
        <v>43.507730000000002</v>
      </c>
      <c r="J29" s="9" t="s">
        <v>25</v>
      </c>
      <c r="K29" s="15">
        <f>43507.73/1000</f>
        <v>43.507730000000002</v>
      </c>
    </row>
    <row r="30" spans="2:11" ht="31.5" customHeight="1" x14ac:dyDescent="0.25">
      <c r="B30" s="143"/>
      <c r="C30" s="163" t="s">
        <v>40</v>
      </c>
      <c r="D30" s="164"/>
      <c r="E30" s="9" t="s">
        <v>25</v>
      </c>
      <c r="F30" s="10">
        <f t="shared" si="0"/>
        <v>34.370895429021495</v>
      </c>
      <c r="G30" s="9" t="s">
        <v>25</v>
      </c>
      <c r="H30" s="10">
        <f>34370.8954290215/1000</f>
        <v>34.370895429021495</v>
      </c>
      <c r="I30" s="10">
        <f t="shared" si="1"/>
        <v>0</v>
      </c>
      <c r="J30" s="9" t="s">
        <v>25</v>
      </c>
      <c r="K30" s="15">
        <v>0</v>
      </c>
    </row>
    <row r="31" spans="2:11" ht="32.25" customHeight="1" x14ac:dyDescent="0.25">
      <c r="B31" s="143"/>
      <c r="C31" s="146" t="s">
        <v>35</v>
      </c>
      <c r="D31" s="158"/>
      <c r="E31" s="11" t="s">
        <v>25</v>
      </c>
      <c r="F31" s="12">
        <f t="shared" si="0"/>
        <v>-90.546902854199999</v>
      </c>
      <c r="G31" s="11" t="s">
        <v>25</v>
      </c>
      <c r="H31" s="23">
        <f>-90546.9028542/1000</f>
        <v>-90.546902854199999</v>
      </c>
      <c r="I31" s="12">
        <f t="shared" si="1"/>
        <v>-100.85817999999999</v>
      </c>
      <c r="J31" s="11" t="s">
        <v>25</v>
      </c>
      <c r="K31" s="24">
        <f>-100858.18/1000</f>
        <v>-100.85817999999999</v>
      </c>
    </row>
    <row r="32" spans="2:11" ht="32.25" customHeight="1" x14ac:dyDescent="0.25">
      <c r="B32" s="143"/>
      <c r="C32" s="162" t="s">
        <v>36</v>
      </c>
      <c r="D32" s="157"/>
      <c r="E32" s="22" t="s">
        <v>25</v>
      </c>
      <c r="F32" s="10">
        <f t="shared" si="0"/>
        <v>-100.30379947860899</v>
      </c>
      <c r="G32" s="9" t="s">
        <v>25</v>
      </c>
      <c r="H32" s="25">
        <f>-100303.799478609/1000</f>
        <v>-100.30379947860899</v>
      </c>
      <c r="I32" s="10">
        <f t="shared" si="1"/>
        <v>-75.132429999999999</v>
      </c>
      <c r="J32" s="9" t="s">
        <v>25</v>
      </c>
      <c r="K32" s="26">
        <f>-75132.43/1000</f>
        <v>-75.132429999999999</v>
      </c>
    </row>
    <row r="33" spans="1:11" ht="30.75" customHeight="1" x14ac:dyDescent="0.25">
      <c r="B33" s="143"/>
      <c r="C33" s="163" t="s">
        <v>37</v>
      </c>
      <c r="D33" s="164"/>
      <c r="E33" s="9" t="s">
        <v>25</v>
      </c>
      <c r="F33" s="10">
        <f t="shared" si="0"/>
        <v>-66.060374878063513</v>
      </c>
      <c r="G33" s="9" t="s">
        <v>25</v>
      </c>
      <c r="H33" s="25">
        <f>-66060.3748780635/1000</f>
        <v>-66.060374878063513</v>
      </c>
      <c r="I33" s="10">
        <f t="shared" si="1"/>
        <v>-64.594769999999997</v>
      </c>
      <c r="J33" s="9" t="s">
        <v>25</v>
      </c>
      <c r="K33" s="26">
        <f>-64594.77/1000</f>
        <v>-64.594769999999997</v>
      </c>
    </row>
    <row r="34" spans="1:11" ht="31.5" customHeight="1" x14ac:dyDescent="0.25">
      <c r="B34" s="143"/>
      <c r="C34" s="162" t="s">
        <v>38</v>
      </c>
      <c r="D34" s="157"/>
      <c r="E34" s="9" t="s">
        <v>25</v>
      </c>
      <c r="F34" s="10">
        <f t="shared" si="0"/>
        <v>-66.856733772330202</v>
      </c>
      <c r="G34" s="9" t="s">
        <v>25</v>
      </c>
      <c r="H34" s="25">
        <f>-66856.7337723302/1000</f>
        <v>-66.856733772330202</v>
      </c>
      <c r="I34" s="10">
        <f t="shared" si="1"/>
        <v>-79.627960000000002</v>
      </c>
      <c r="J34" s="9" t="s">
        <v>25</v>
      </c>
      <c r="K34" s="26">
        <f>-79627.96/1000</f>
        <v>-79.627960000000002</v>
      </c>
    </row>
    <row r="35" spans="1:11" ht="30" customHeight="1" x14ac:dyDescent="0.25">
      <c r="B35" s="143"/>
      <c r="C35" s="162" t="s">
        <v>39</v>
      </c>
      <c r="D35" s="157"/>
      <c r="E35" s="9" t="s">
        <v>25</v>
      </c>
      <c r="F35" s="10">
        <f t="shared" si="0"/>
        <v>-70.150463831313488</v>
      </c>
      <c r="G35" s="9" t="s">
        <v>25</v>
      </c>
      <c r="H35" s="25">
        <f>-70150.4638313135/1000</f>
        <v>-70.150463831313488</v>
      </c>
      <c r="I35" s="10">
        <f t="shared" si="1"/>
        <v>-43.507730000000002</v>
      </c>
      <c r="J35" s="9" t="s">
        <v>25</v>
      </c>
      <c r="K35" s="26">
        <f>-43507.73/1000</f>
        <v>-43.507730000000002</v>
      </c>
    </row>
    <row r="36" spans="1:11" ht="31.5" customHeight="1" x14ac:dyDescent="0.25">
      <c r="B36" s="143"/>
      <c r="C36" s="162" t="s">
        <v>40</v>
      </c>
      <c r="D36" s="157"/>
      <c r="E36" s="9" t="s">
        <v>25</v>
      </c>
      <c r="F36" s="10">
        <f t="shared" si="0"/>
        <v>-34.370895429021495</v>
      </c>
      <c r="G36" s="9" t="s">
        <v>25</v>
      </c>
      <c r="H36" s="25">
        <f>-34370.8954290215/1000</f>
        <v>-34.370895429021495</v>
      </c>
      <c r="I36" s="10">
        <f t="shared" si="1"/>
        <v>0</v>
      </c>
      <c r="J36" s="9" t="s">
        <v>25</v>
      </c>
      <c r="K36" s="26">
        <v>0</v>
      </c>
    </row>
    <row r="37" spans="1:11" s="32" customFormat="1" ht="15.75" thickBot="1" x14ac:dyDescent="0.3">
      <c r="A37" s="27"/>
      <c r="B37" s="144"/>
      <c r="C37" s="167" t="s">
        <v>41</v>
      </c>
      <c r="D37" s="167"/>
      <c r="E37" s="28" t="s">
        <v>25</v>
      </c>
      <c r="F37" s="29">
        <f>H37</f>
        <v>0</v>
      </c>
      <c r="G37" s="28" t="s">
        <v>25</v>
      </c>
      <c r="H37" s="29"/>
      <c r="I37" s="30">
        <f t="shared" si="1"/>
        <v>0</v>
      </c>
      <c r="J37" s="28" t="s">
        <v>25</v>
      </c>
      <c r="K37" s="31"/>
    </row>
    <row r="38" spans="1:11" s="32" customFormat="1" ht="16.5" thickBot="1" x14ac:dyDescent="0.3">
      <c r="A38" s="27"/>
      <c r="B38" s="33"/>
      <c r="C38" s="34"/>
      <c r="D38" s="34"/>
      <c r="E38" s="34"/>
      <c r="F38" s="34"/>
      <c r="G38" s="34"/>
      <c r="H38" s="34"/>
      <c r="I38" s="34"/>
      <c r="J38" s="34"/>
      <c r="K38" s="35"/>
    </row>
    <row r="39" spans="1:11" s="32" customFormat="1" ht="60.75" thickBot="1" x14ac:dyDescent="0.3">
      <c r="A39" s="27"/>
      <c r="B39" s="36" t="s">
        <v>42</v>
      </c>
      <c r="C39" s="37" t="s">
        <v>43</v>
      </c>
      <c r="D39" s="37" t="s">
        <v>44</v>
      </c>
      <c r="E39" s="12" t="s">
        <v>25</v>
      </c>
      <c r="F39" s="12">
        <f>H39</f>
        <v>2983.4949999999999</v>
      </c>
      <c r="G39" s="12" t="s">
        <v>45</v>
      </c>
      <c r="H39" s="12">
        <f>2983495/1000</f>
        <v>2983.4949999999999</v>
      </c>
      <c r="I39" s="12">
        <f t="shared" ref="I39" si="2">K39</f>
        <v>2983.4949999999999</v>
      </c>
      <c r="J39" s="12" t="s">
        <v>46</v>
      </c>
      <c r="K39" s="18">
        <f>2983495/1000</f>
        <v>2983.4949999999999</v>
      </c>
    </row>
    <row r="40" spans="1:11" s="32" customFormat="1" ht="16.5" thickBot="1" x14ac:dyDescent="0.3">
      <c r="A40" s="27"/>
      <c r="B40" s="33"/>
      <c r="C40" s="34"/>
      <c r="D40" s="34"/>
      <c r="E40" s="34"/>
      <c r="F40" s="34"/>
      <c r="G40" s="34"/>
      <c r="H40" s="34"/>
      <c r="I40" s="34"/>
      <c r="J40" s="34"/>
      <c r="K40" s="35"/>
    </row>
    <row r="41" spans="1:11" s="32" customFormat="1" ht="30" hidden="1" x14ac:dyDescent="0.25">
      <c r="A41" s="27"/>
      <c r="B41" s="165" t="s">
        <v>47</v>
      </c>
      <c r="C41" s="7" t="s">
        <v>48</v>
      </c>
      <c r="D41" s="7" t="s">
        <v>49</v>
      </c>
      <c r="E41" s="8">
        <v>13288.174000000001</v>
      </c>
      <c r="F41" s="8">
        <f>H41</f>
        <v>0</v>
      </c>
      <c r="G41" s="7"/>
      <c r="H41" s="8"/>
      <c r="I41" s="38">
        <f>K41</f>
        <v>0</v>
      </c>
      <c r="J41" s="38"/>
      <c r="K41" s="39"/>
    </row>
    <row r="42" spans="1:11" ht="32.25" customHeight="1" x14ac:dyDescent="0.25">
      <c r="B42" s="166"/>
      <c r="C42" s="163" t="s">
        <v>35</v>
      </c>
      <c r="D42" s="164"/>
      <c r="E42" s="9" t="s">
        <v>25</v>
      </c>
      <c r="F42" s="10">
        <f t="shared" ref="F42:F49" si="3">H42</f>
        <v>22.079849999999997</v>
      </c>
      <c r="G42" s="9" t="s">
        <v>25</v>
      </c>
      <c r="H42" s="10">
        <f>K42</f>
        <v>22.079849999999997</v>
      </c>
      <c r="I42" s="19">
        <f t="shared" ref="I42:I49" si="4">K42</f>
        <v>22.079849999999997</v>
      </c>
      <c r="J42" s="9" t="s">
        <v>25</v>
      </c>
      <c r="K42" s="40">
        <f>22079.85/1000</f>
        <v>22.079849999999997</v>
      </c>
    </row>
    <row r="43" spans="1:11" ht="31.5" customHeight="1" x14ac:dyDescent="0.25">
      <c r="B43" s="166"/>
      <c r="C43" s="163" t="s">
        <v>36</v>
      </c>
      <c r="D43" s="164"/>
      <c r="E43" s="9" t="s">
        <v>25</v>
      </c>
      <c r="F43" s="10">
        <f t="shared" si="3"/>
        <v>12.550660000000001</v>
      </c>
      <c r="G43" s="9" t="s">
        <v>25</v>
      </c>
      <c r="H43" s="19">
        <f>12550.66/1000</f>
        <v>12.550660000000001</v>
      </c>
      <c r="I43" s="41">
        <f t="shared" si="4"/>
        <v>12.550660000000001</v>
      </c>
      <c r="J43" s="9" t="s">
        <v>25</v>
      </c>
      <c r="K43" s="40">
        <f>12550.66/1000</f>
        <v>12.550660000000001</v>
      </c>
    </row>
    <row r="44" spans="1:11" ht="31.5" customHeight="1" x14ac:dyDescent="0.25">
      <c r="B44" s="166"/>
      <c r="C44" s="163" t="s">
        <v>37</v>
      </c>
      <c r="D44" s="164"/>
      <c r="E44" s="9" t="s">
        <v>25</v>
      </c>
      <c r="F44" s="10">
        <f t="shared" si="3"/>
        <v>12.78918</v>
      </c>
      <c r="G44" s="9" t="s">
        <v>25</v>
      </c>
      <c r="H44" s="19">
        <f t="shared" ref="H44:H49" si="5">K44</f>
        <v>12.78918</v>
      </c>
      <c r="I44" s="41">
        <f t="shared" si="4"/>
        <v>12.78918</v>
      </c>
      <c r="J44" s="9" t="s">
        <v>25</v>
      </c>
      <c r="K44" s="40">
        <f>12789.18/1000</f>
        <v>12.78918</v>
      </c>
    </row>
    <row r="45" spans="1:11" ht="31.5" customHeight="1" x14ac:dyDescent="0.25">
      <c r="B45" s="166"/>
      <c r="C45" s="163" t="s">
        <v>38</v>
      </c>
      <c r="D45" s="164"/>
      <c r="E45" s="9" t="s">
        <v>25</v>
      </c>
      <c r="F45" s="10">
        <f t="shared" si="3"/>
        <v>38.496070000000003</v>
      </c>
      <c r="G45" s="9" t="s">
        <v>25</v>
      </c>
      <c r="H45" s="19">
        <f t="shared" si="5"/>
        <v>38.496070000000003</v>
      </c>
      <c r="I45" s="41">
        <f t="shared" si="4"/>
        <v>38.496070000000003</v>
      </c>
      <c r="J45" s="9" t="s">
        <v>25</v>
      </c>
      <c r="K45" s="40">
        <f>38496.07/1000</f>
        <v>38.496070000000003</v>
      </c>
    </row>
    <row r="46" spans="1:11" ht="31.5" customHeight="1" x14ac:dyDescent="0.25">
      <c r="B46" s="166"/>
      <c r="C46" s="163" t="s">
        <v>39</v>
      </c>
      <c r="D46" s="164"/>
      <c r="E46" s="9" t="s">
        <v>25</v>
      </c>
      <c r="F46" s="10">
        <f>H46</f>
        <v>12.369639999999999</v>
      </c>
      <c r="G46" s="9" t="s">
        <v>25</v>
      </c>
      <c r="H46" s="19">
        <f t="shared" si="5"/>
        <v>12.369639999999999</v>
      </c>
      <c r="I46" s="41">
        <f>K46</f>
        <v>12.369639999999999</v>
      </c>
      <c r="J46" s="9" t="s">
        <v>25</v>
      </c>
      <c r="K46" s="40">
        <f>12369.64/1000</f>
        <v>12.369639999999999</v>
      </c>
    </row>
    <row r="47" spans="1:11" ht="31.5" customHeight="1" x14ac:dyDescent="0.25">
      <c r="B47" s="166"/>
      <c r="C47" s="163" t="s">
        <v>40</v>
      </c>
      <c r="D47" s="164"/>
      <c r="E47" s="9" t="s">
        <v>25</v>
      </c>
      <c r="F47" s="10">
        <f t="shared" si="3"/>
        <v>23.90718</v>
      </c>
      <c r="G47" s="9" t="s">
        <v>25</v>
      </c>
      <c r="H47" s="19">
        <f t="shared" si="5"/>
        <v>23.90718</v>
      </c>
      <c r="I47" s="41">
        <f t="shared" si="4"/>
        <v>23.90718</v>
      </c>
      <c r="J47" s="9" t="s">
        <v>25</v>
      </c>
      <c r="K47" s="40">
        <f>23907.18/1000</f>
        <v>23.90718</v>
      </c>
    </row>
    <row r="48" spans="1:11" s="32" customFormat="1" ht="37.5" customHeight="1" x14ac:dyDescent="0.25">
      <c r="A48" s="27"/>
      <c r="B48" s="166"/>
      <c r="C48" s="163" t="s">
        <v>50</v>
      </c>
      <c r="D48" s="164"/>
      <c r="E48" s="11" t="s">
        <v>25</v>
      </c>
      <c r="F48" s="12">
        <f t="shared" si="3"/>
        <v>47.648739999999904</v>
      </c>
      <c r="G48" s="11" t="s">
        <v>25</v>
      </c>
      <c r="H48" s="12">
        <f t="shared" si="5"/>
        <v>47.648739999999904</v>
      </c>
      <c r="I48" s="21">
        <f t="shared" si="4"/>
        <v>47.648739999999904</v>
      </c>
      <c r="J48" s="11" t="s">
        <v>25</v>
      </c>
      <c r="K48" s="42">
        <f>47648.7399999999/1000</f>
        <v>47.648739999999904</v>
      </c>
    </row>
    <row r="49" spans="1:11" s="32" customFormat="1" ht="37.5" customHeight="1" thickBot="1" x14ac:dyDescent="0.3">
      <c r="A49" s="27"/>
      <c r="B49" s="166"/>
      <c r="C49" s="163" t="s">
        <v>51</v>
      </c>
      <c r="D49" s="164"/>
      <c r="E49" s="11" t="s">
        <v>25</v>
      </c>
      <c r="F49" s="12">
        <f t="shared" si="3"/>
        <v>18.400310000000001</v>
      </c>
      <c r="G49" s="11" t="s">
        <v>25</v>
      </c>
      <c r="H49" s="12">
        <f t="shared" si="5"/>
        <v>18.400310000000001</v>
      </c>
      <c r="I49" s="21">
        <f t="shared" si="4"/>
        <v>18.400310000000001</v>
      </c>
      <c r="J49" s="11" t="s">
        <v>25</v>
      </c>
      <c r="K49" s="42">
        <f>18400.31/1000</f>
        <v>18.400310000000001</v>
      </c>
    </row>
    <row r="50" spans="1:11" ht="16.5" thickBot="1" x14ac:dyDescent="0.3">
      <c r="B50" s="33"/>
      <c r="C50" s="34"/>
      <c r="D50" s="34"/>
      <c r="E50" s="34"/>
      <c r="F50" s="34"/>
      <c r="G50" s="34"/>
      <c r="H50" s="34"/>
      <c r="I50" s="34"/>
      <c r="J50" s="34"/>
      <c r="K50" s="35"/>
    </row>
    <row r="51" spans="1:11" ht="75" hidden="1" customHeight="1" x14ac:dyDescent="0.25">
      <c r="B51" s="165" t="s">
        <v>52</v>
      </c>
      <c r="C51" s="9" t="s">
        <v>53</v>
      </c>
      <c r="D51" s="9" t="s">
        <v>54</v>
      </c>
      <c r="E51" s="10">
        <f>143367.99/1000</f>
        <v>143.36798999999999</v>
      </c>
      <c r="F51" s="10">
        <f>H51</f>
        <v>0</v>
      </c>
      <c r="G51" s="9"/>
      <c r="H51" s="10"/>
      <c r="I51" s="10">
        <f t="shared" ref="I51:I56" si="6">K51</f>
        <v>0</v>
      </c>
      <c r="J51" s="10"/>
      <c r="K51" s="15"/>
    </row>
    <row r="52" spans="1:11" ht="31.5" customHeight="1" x14ac:dyDescent="0.25">
      <c r="B52" s="166"/>
      <c r="C52" s="9" t="s">
        <v>55</v>
      </c>
      <c r="D52" s="9" t="s">
        <v>56</v>
      </c>
      <c r="E52" s="10">
        <v>164.9</v>
      </c>
      <c r="F52" s="10">
        <f>H52</f>
        <v>164.9</v>
      </c>
      <c r="G52" s="9" t="s">
        <v>57</v>
      </c>
      <c r="H52" s="10">
        <f>164900/1000</f>
        <v>164.9</v>
      </c>
      <c r="I52" s="10">
        <f t="shared" si="6"/>
        <v>0</v>
      </c>
      <c r="J52" s="17" t="s">
        <v>25</v>
      </c>
      <c r="K52" s="15">
        <v>0</v>
      </c>
    </row>
    <row r="53" spans="1:11" s="32" customFormat="1" ht="31.5" customHeight="1" x14ac:dyDescent="0.25">
      <c r="A53" s="27"/>
      <c r="B53" s="166"/>
      <c r="C53" s="9" t="s">
        <v>55</v>
      </c>
      <c r="D53" s="9" t="s">
        <v>58</v>
      </c>
      <c r="E53" s="10">
        <v>443.4</v>
      </c>
      <c r="F53" s="10">
        <f>H53</f>
        <v>443.4</v>
      </c>
      <c r="G53" s="9" t="s">
        <v>59</v>
      </c>
      <c r="H53" s="10">
        <f>443400/1000</f>
        <v>443.4</v>
      </c>
      <c r="I53" s="10">
        <f t="shared" si="6"/>
        <v>0</v>
      </c>
      <c r="J53" s="17" t="s">
        <v>25</v>
      </c>
      <c r="K53" s="18">
        <v>0</v>
      </c>
    </row>
    <row r="54" spans="1:11" s="32" customFormat="1" ht="31.5" customHeight="1" x14ac:dyDescent="0.25">
      <c r="A54" s="27"/>
      <c r="B54" s="166"/>
      <c r="C54" s="163" t="s">
        <v>60</v>
      </c>
      <c r="D54" s="164"/>
      <c r="E54" s="43" t="s">
        <v>25</v>
      </c>
      <c r="F54" s="43" t="s">
        <v>25</v>
      </c>
      <c r="G54" s="43" t="s">
        <v>25</v>
      </c>
      <c r="H54" s="43" t="s">
        <v>25</v>
      </c>
      <c r="I54" s="10">
        <f t="shared" si="6"/>
        <v>787.9920820000001</v>
      </c>
      <c r="J54" s="43" t="s">
        <v>25</v>
      </c>
      <c r="K54" s="15">
        <f>787992.082/1000</f>
        <v>787.9920820000001</v>
      </c>
    </row>
    <row r="55" spans="1:11" ht="32.25" customHeight="1" thickBot="1" x14ac:dyDescent="0.3">
      <c r="B55" s="168"/>
      <c r="C55" s="169" t="s">
        <v>37</v>
      </c>
      <c r="D55" s="170"/>
      <c r="E55" s="44" t="s">
        <v>25</v>
      </c>
      <c r="F55" s="45">
        <f>H55</f>
        <v>18.386599999999998</v>
      </c>
      <c r="G55" s="44" t="s">
        <v>25</v>
      </c>
      <c r="H55" s="45">
        <f>K55</f>
        <v>18.386599999999998</v>
      </c>
      <c r="I55" s="46">
        <f t="shared" si="6"/>
        <v>18.386599999999998</v>
      </c>
      <c r="J55" s="44" t="s">
        <v>25</v>
      </c>
      <c r="K55" s="47">
        <f>18386.6/1000</f>
        <v>18.386599999999998</v>
      </c>
    </row>
    <row r="56" spans="1:11" s="32" customFormat="1" ht="45" x14ac:dyDescent="0.25">
      <c r="A56" s="27"/>
      <c r="B56" s="171" t="s">
        <v>61</v>
      </c>
      <c r="C56" s="9" t="s">
        <v>26</v>
      </c>
      <c r="D56" s="9" t="s">
        <v>27</v>
      </c>
      <c r="E56" s="10" t="s">
        <v>25</v>
      </c>
      <c r="F56" s="10">
        <f>H56</f>
        <v>87.795500000000004</v>
      </c>
      <c r="G56" s="9" t="s">
        <v>62</v>
      </c>
      <c r="H56" s="10">
        <f>87795.5/1000</f>
        <v>87.795500000000004</v>
      </c>
      <c r="I56" s="19">
        <f t="shared" si="6"/>
        <v>87.795500000000004</v>
      </c>
      <c r="J56" s="9" t="s">
        <v>63</v>
      </c>
      <c r="K56" s="40">
        <f>(53555.26+34240.24)/1000</f>
        <v>87.795500000000004</v>
      </c>
    </row>
    <row r="57" spans="1:11" s="32" customFormat="1" ht="62.25" customHeight="1" x14ac:dyDescent="0.25">
      <c r="A57" s="27"/>
      <c r="B57" s="166"/>
      <c r="C57" s="161" t="s">
        <v>64</v>
      </c>
      <c r="D57" s="161" t="s">
        <v>65</v>
      </c>
      <c r="E57" s="159">
        <v>1250.7</v>
      </c>
      <c r="F57" s="159">
        <f>H57+H58</f>
        <v>1250.7</v>
      </c>
      <c r="G57" s="9" t="s">
        <v>66</v>
      </c>
      <c r="H57" s="19">
        <f>487000/1000</f>
        <v>487</v>
      </c>
      <c r="I57" s="172">
        <f>K57+K58</f>
        <v>1250.7</v>
      </c>
      <c r="J57" s="9" t="s">
        <v>67</v>
      </c>
      <c r="K57" s="40">
        <f>487000/1000</f>
        <v>487</v>
      </c>
    </row>
    <row r="58" spans="1:11" s="32" customFormat="1" ht="57.75" customHeight="1" thickBot="1" x14ac:dyDescent="0.3">
      <c r="A58" s="27"/>
      <c r="B58" s="166"/>
      <c r="C58" s="149"/>
      <c r="D58" s="149"/>
      <c r="E58" s="152"/>
      <c r="F58" s="152"/>
      <c r="G58" s="22" t="s">
        <v>68</v>
      </c>
      <c r="H58" s="48">
        <f>763700/1000</f>
        <v>763.7</v>
      </c>
      <c r="I58" s="173"/>
      <c r="J58" s="22" t="s">
        <v>69</v>
      </c>
      <c r="K58" s="49">
        <f>763700/1000</f>
        <v>763.7</v>
      </c>
    </row>
    <row r="59" spans="1:11" s="32" customFormat="1" ht="45" x14ac:dyDescent="0.25">
      <c r="A59" s="27"/>
      <c r="B59" s="165" t="s">
        <v>70</v>
      </c>
      <c r="C59" s="37" t="s">
        <v>26</v>
      </c>
      <c r="D59" s="37" t="s">
        <v>27</v>
      </c>
      <c r="E59" s="38" t="s">
        <v>25</v>
      </c>
      <c r="F59" s="38">
        <f t="shared" ref="F59:F60" si="7">H59</f>
        <v>93.06</v>
      </c>
      <c r="G59" s="37" t="s">
        <v>62</v>
      </c>
      <c r="H59" s="38">
        <f>93060/1000</f>
        <v>93.06</v>
      </c>
      <c r="I59" s="50">
        <f t="shared" ref="I59:I73" si="8">K59</f>
        <v>93.06</v>
      </c>
      <c r="J59" s="37" t="s">
        <v>63</v>
      </c>
      <c r="K59" s="51">
        <f>93060/1000</f>
        <v>93.06</v>
      </c>
    </row>
    <row r="60" spans="1:11" s="32" customFormat="1" ht="45.75" thickBot="1" x14ac:dyDescent="0.3">
      <c r="A60" s="27"/>
      <c r="B60" s="168"/>
      <c r="C60" s="28" t="s">
        <v>71</v>
      </c>
      <c r="D60" s="28" t="s">
        <v>72</v>
      </c>
      <c r="E60" s="29">
        <v>975</v>
      </c>
      <c r="F60" s="29">
        <f t="shared" si="7"/>
        <v>975</v>
      </c>
      <c r="G60" s="28" t="s">
        <v>73</v>
      </c>
      <c r="H60" s="29">
        <f>975000/1000</f>
        <v>975</v>
      </c>
      <c r="I60" s="30">
        <f t="shared" si="8"/>
        <v>975</v>
      </c>
      <c r="J60" s="28" t="s">
        <v>74</v>
      </c>
      <c r="K60" s="31">
        <f>975000/1000</f>
        <v>975</v>
      </c>
    </row>
    <row r="61" spans="1:11" s="32" customFormat="1" ht="32.25" hidden="1" customHeight="1" x14ac:dyDescent="0.25">
      <c r="A61" s="27"/>
      <c r="B61" s="165" t="s">
        <v>75</v>
      </c>
      <c r="C61" s="37" t="s">
        <v>26</v>
      </c>
      <c r="D61" s="37" t="s">
        <v>27</v>
      </c>
      <c r="E61" s="38" t="s">
        <v>25</v>
      </c>
      <c r="F61" s="38">
        <f>H61</f>
        <v>0</v>
      </c>
      <c r="G61" s="38"/>
      <c r="H61" s="38"/>
      <c r="I61" s="38">
        <f t="shared" si="8"/>
        <v>0</v>
      </c>
      <c r="J61" s="38"/>
      <c r="K61" s="39"/>
    </row>
    <row r="62" spans="1:11" s="32" customFormat="1" ht="30" customHeight="1" x14ac:dyDescent="0.25">
      <c r="A62" s="27"/>
      <c r="B62" s="166"/>
      <c r="C62" s="146" t="s">
        <v>35</v>
      </c>
      <c r="D62" s="158"/>
      <c r="E62" s="11" t="s">
        <v>25</v>
      </c>
      <c r="F62" s="12">
        <f t="shared" ref="F62:F103" si="9">H62</f>
        <v>51.398974513086202</v>
      </c>
      <c r="G62" s="11" t="s">
        <v>25</v>
      </c>
      <c r="H62" s="12">
        <f>51398.9745130862/1000</f>
        <v>51.398974513086202</v>
      </c>
      <c r="I62" s="12">
        <f t="shared" si="8"/>
        <v>45.927730000000004</v>
      </c>
      <c r="J62" s="11" t="s">
        <v>25</v>
      </c>
      <c r="K62" s="18">
        <f>45927.73/1000</f>
        <v>45.927730000000004</v>
      </c>
    </row>
    <row r="63" spans="1:11" s="32" customFormat="1" ht="32.25" customHeight="1" x14ac:dyDescent="0.25">
      <c r="A63" s="27"/>
      <c r="B63" s="166"/>
      <c r="C63" s="162" t="s">
        <v>36</v>
      </c>
      <c r="D63" s="157"/>
      <c r="E63" s="22" t="s">
        <v>25</v>
      </c>
      <c r="F63" s="10">
        <f t="shared" si="9"/>
        <v>51.684928550953494</v>
      </c>
      <c r="G63" s="9" t="s">
        <v>25</v>
      </c>
      <c r="H63" s="10">
        <f>51684.9285509535/1000</f>
        <v>51.684928550953494</v>
      </c>
      <c r="I63" s="10">
        <f t="shared" si="8"/>
        <v>50.374849999999995</v>
      </c>
      <c r="J63" s="9" t="s">
        <v>25</v>
      </c>
      <c r="K63" s="15">
        <f>50374.85/1000</f>
        <v>50.374849999999995</v>
      </c>
    </row>
    <row r="64" spans="1:11" s="32" customFormat="1" ht="32.25" customHeight="1" x14ac:dyDescent="0.25">
      <c r="A64" s="27"/>
      <c r="B64" s="166"/>
      <c r="C64" s="163" t="s">
        <v>37</v>
      </c>
      <c r="D64" s="164"/>
      <c r="E64" s="9" t="s">
        <v>25</v>
      </c>
      <c r="F64" s="10">
        <f t="shared" si="9"/>
        <v>44.674746651244696</v>
      </c>
      <c r="G64" s="9" t="s">
        <v>25</v>
      </c>
      <c r="H64" s="10">
        <f>44674.7466512447/1000</f>
        <v>44.674746651244696</v>
      </c>
      <c r="I64" s="10">
        <f t="shared" si="8"/>
        <v>39.668080000000003</v>
      </c>
      <c r="J64" s="9" t="s">
        <v>25</v>
      </c>
      <c r="K64" s="15">
        <f>39668.08/1000</f>
        <v>39.668080000000003</v>
      </c>
    </row>
    <row r="65" spans="1:11" s="32" customFormat="1" ht="31.5" customHeight="1" x14ac:dyDescent="0.25">
      <c r="A65" s="27"/>
      <c r="B65" s="166"/>
      <c r="C65" s="163" t="s">
        <v>38</v>
      </c>
      <c r="D65" s="164"/>
      <c r="E65" s="9" t="s">
        <v>25</v>
      </c>
      <c r="F65" s="10">
        <f t="shared" si="9"/>
        <v>37.618580146036898</v>
      </c>
      <c r="G65" s="9" t="s">
        <v>25</v>
      </c>
      <c r="H65" s="10">
        <f>37618.5801460369/1000</f>
        <v>37.618580146036898</v>
      </c>
      <c r="I65" s="19">
        <f t="shared" si="8"/>
        <v>35.407029999999999</v>
      </c>
      <c r="J65" s="9" t="s">
        <v>25</v>
      </c>
      <c r="K65" s="40">
        <f>35407.03/1000</f>
        <v>35.407029999999999</v>
      </c>
    </row>
    <row r="66" spans="1:11" s="32" customFormat="1" ht="36.75" customHeight="1" x14ac:dyDescent="0.25">
      <c r="A66" s="27"/>
      <c r="B66" s="166"/>
      <c r="C66" s="163" t="s">
        <v>39</v>
      </c>
      <c r="D66" s="164"/>
      <c r="E66" s="9" t="s">
        <v>25</v>
      </c>
      <c r="F66" s="10">
        <f t="shared" si="9"/>
        <v>31.736937098757799</v>
      </c>
      <c r="G66" s="9" t="s">
        <v>25</v>
      </c>
      <c r="H66" s="10">
        <f>31736.9370987578/1000</f>
        <v>31.736937098757799</v>
      </c>
      <c r="I66" s="19">
        <f t="shared" si="8"/>
        <v>29.146990000000002</v>
      </c>
      <c r="J66" s="9" t="s">
        <v>25</v>
      </c>
      <c r="K66" s="40">
        <f>29146.99/1000</f>
        <v>29.146990000000002</v>
      </c>
    </row>
    <row r="67" spans="1:11" s="32" customFormat="1" ht="30" customHeight="1" x14ac:dyDescent="0.25">
      <c r="A67" s="27"/>
      <c r="B67" s="166"/>
      <c r="C67" s="163" t="s">
        <v>40</v>
      </c>
      <c r="D67" s="164"/>
      <c r="E67" s="9" t="s">
        <v>25</v>
      </c>
      <c r="F67" s="10">
        <f t="shared" si="9"/>
        <v>24.098530712877199</v>
      </c>
      <c r="G67" s="9" t="s">
        <v>25</v>
      </c>
      <c r="H67" s="10">
        <f>24098.5307128772/1000</f>
        <v>24.098530712877199</v>
      </c>
      <c r="I67" s="19">
        <f t="shared" si="8"/>
        <v>0</v>
      </c>
      <c r="J67" s="9" t="s">
        <v>25</v>
      </c>
      <c r="K67" s="40">
        <v>0</v>
      </c>
    </row>
    <row r="68" spans="1:11" s="32" customFormat="1" ht="30" customHeight="1" x14ac:dyDescent="0.25">
      <c r="A68" s="27"/>
      <c r="B68" s="166"/>
      <c r="C68" s="146" t="s">
        <v>35</v>
      </c>
      <c r="D68" s="158"/>
      <c r="E68" s="11" t="s">
        <v>25</v>
      </c>
      <c r="F68" s="12">
        <f t="shared" si="9"/>
        <v>-51.398974513086202</v>
      </c>
      <c r="G68" s="11" t="s">
        <v>25</v>
      </c>
      <c r="H68" s="23">
        <f>-51398.9745130862/1000</f>
        <v>-51.398974513086202</v>
      </c>
      <c r="I68" s="12">
        <f t="shared" si="8"/>
        <v>-45.927730000000004</v>
      </c>
      <c r="J68" s="11" t="s">
        <v>25</v>
      </c>
      <c r="K68" s="24">
        <f>-45927.73/1000</f>
        <v>-45.927730000000004</v>
      </c>
    </row>
    <row r="69" spans="1:11" s="32" customFormat="1" ht="32.25" customHeight="1" x14ac:dyDescent="0.25">
      <c r="A69" s="27"/>
      <c r="B69" s="166"/>
      <c r="C69" s="162" t="s">
        <v>36</v>
      </c>
      <c r="D69" s="157"/>
      <c r="E69" s="22" t="s">
        <v>25</v>
      </c>
      <c r="F69" s="10">
        <f t="shared" si="9"/>
        <v>-51.684928550953494</v>
      </c>
      <c r="G69" s="9" t="s">
        <v>25</v>
      </c>
      <c r="H69" s="25">
        <f>-51684.9285509535/1000</f>
        <v>-51.684928550953494</v>
      </c>
      <c r="I69" s="10">
        <f t="shared" si="8"/>
        <v>-50.374849999999995</v>
      </c>
      <c r="J69" s="9" t="s">
        <v>25</v>
      </c>
      <c r="K69" s="26">
        <f>-50374.85/1000</f>
        <v>-50.374849999999995</v>
      </c>
    </row>
    <row r="70" spans="1:11" s="32" customFormat="1" ht="32.25" customHeight="1" x14ac:dyDescent="0.25">
      <c r="A70" s="27"/>
      <c r="B70" s="166"/>
      <c r="C70" s="163" t="s">
        <v>37</v>
      </c>
      <c r="D70" s="164"/>
      <c r="E70" s="9" t="s">
        <v>25</v>
      </c>
      <c r="F70" s="10">
        <f t="shared" si="9"/>
        <v>-44.674746651244696</v>
      </c>
      <c r="G70" s="9" t="s">
        <v>25</v>
      </c>
      <c r="H70" s="25">
        <f>-44674.7466512447/1000</f>
        <v>-44.674746651244696</v>
      </c>
      <c r="I70" s="10">
        <f t="shared" si="8"/>
        <v>-39.668080000000003</v>
      </c>
      <c r="J70" s="9" t="s">
        <v>25</v>
      </c>
      <c r="K70" s="26">
        <f>-39668.08/1000</f>
        <v>-39.668080000000003</v>
      </c>
    </row>
    <row r="71" spans="1:11" s="32" customFormat="1" ht="31.5" customHeight="1" x14ac:dyDescent="0.25">
      <c r="A71" s="27"/>
      <c r="B71" s="166"/>
      <c r="C71" s="163" t="s">
        <v>38</v>
      </c>
      <c r="D71" s="164"/>
      <c r="E71" s="9" t="s">
        <v>25</v>
      </c>
      <c r="F71" s="10">
        <f t="shared" si="9"/>
        <v>-37.618580146036898</v>
      </c>
      <c r="G71" s="9" t="s">
        <v>25</v>
      </c>
      <c r="H71" s="25">
        <f>-37618.5801460369/1000</f>
        <v>-37.618580146036898</v>
      </c>
      <c r="I71" s="19">
        <f t="shared" si="8"/>
        <v>-35.407029999999999</v>
      </c>
      <c r="J71" s="9" t="s">
        <v>25</v>
      </c>
      <c r="K71" s="52">
        <f>-35407.03/1000</f>
        <v>-35.407029999999999</v>
      </c>
    </row>
    <row r="72" spans="1:11" s="32" customFormat="1" ht="36.75" customHeight="1" x14ac:dyDescent="0.25">
      <c r="A72" s="27"/>
      <c r="B72" s="166"/>
      <c r="C72" s="163" t="s">
        <v>39</v>
      </c>
      <c r="D72" s="164"/>
      <c r="E72" s="9" t="s">
        <v>25</v>
      </c>
      <c r="F72" s="10">
        <f t="shared" si="9"/>
        <v>-31.736937098757799</v>
      </c>
      <c r="G72" s="9" t="s">
        <v>25</v>
      </c>
      <c r="H72" s="25">
        <f>-31736.9370987578/1000</f>
        <v>-31.736937098757799</v>
      </c>
      <c r="I72" s="19">
        <f t="shared" si="8"/>
        <v>-29.146990000000002</v>
      </c>
      <c r="J72" s="9" t="s">
        <v>25</v>
      </c>
      <c r="K72" s="52">
        <f>-29146.99/1000</f>
        <v>-29.146990000000002</v>
      </c>
    </row>
    <row r="73" spans="1:11" s="32" customFormat="1" ht="30" customHeight="1" thickBot="1" x14ac:dyDescent="0.3">
      <c r="A73" s="27"/>
      <c r="B73" s="168"/>
      <c r="C73" s="174" t="s">
        <v>40</v>
      </c>
      <c r="D73" s="175"/>
      <c r="E73" s="28" t="s">
        <v>25</v>
      </c>
      <c r="F73" s="29">
        <f t="shared" si="9"/>
        <v>-24.098530712877199</v>
      </c>
      <c r="G73" s="28" t="s">
        <v>25</v>
      </c>
      <c r="H73" s="53">
        <f>-24098.5307128772/1000</f>
        <v>-24.098530712877199</v>
      </c>
      <c r="I73" s="30">
        <f t="shared" si="8"/>
        <v>0</v>
      </c>
      <c r="J73" s="28" t="s">
        <v>25</v>
      </c>
      <c r="K73" s="54">
        <v>0</v>
      </c>
    </row>
    <row r="74" spans="1:11" s="32" customFormat="1" ht="60" hidden="1" customHeight="1" x14ac:dyDescent="0.25">
      <c r="A74" s="27"/>
      <c r="B74" s="165" t="s">
        <v>76</v>
      </c>
      <c r="C74" s="37" t="s">
        <v>26</v>
      </c>
      <c r="D74" s="37" t="s">
        <v>27</v>
      </c>
      <c r="E74" s="38" t="s">
        <v>25</v>
      </c>
      <c r="F74" s="38" t="s">
        <v>25</v>
      </c>
      <c r="G74" s="38"/>
      <c r="H74" s="38"/>
      <c r="I74" s="38">
        <f t="shared" ref="I74:I79" si="10">K74</f>
        <v>0</v>
      </c>
      <c r="J74" s="38"/>
      <c r="K74" s="39"/>
    </row>
    <row r="75" spans="1:11" s="32" customFormat="1" ht="30.75" customHeight="1" x14ac:dyDescent="0.25">
      <c r="A75" s="27"/>
      <c r="B75" s="166"/>
      <c r="C75" s="146" t="s">
        <v>35</v>
      </c>
      <c r="D75" s="158"/>
      <c r="E75" s="11" t="s">
        <v>25</v>
      </c>
      <c r="F75" s="12">
        <f t="shared" si="9"/>
        <v>50.811861037897394</v>
      </c>
      <c r="G75" s="11" t="s">
        <v>25</v>
      </c>
      <c r="H75" s="12">
        <f>50811.8610378974/1000</f>
        <v>50.811861037897394</v>
      </c>
      <c r="I75" s="12">
        <f t="shared" si="10"/>
        <v>45.471199999999996</v>
      </c>
      <c r="J75" s="11" t="s">
        <v>25</v>
      </c>
      <c r="K75" s="18">
        <f>45471.2/1000</f>
        <v>45.471199999999996</v>
      </c>
    </row>
    <row r="76" spans="1:11" s="32" customFormat="1" ht="30.75" customHeight="1" x14ac:dyDescent="0.25">
      <c r="A76" s="27"/>
      <c r="B76" s="166"/>
      <c r="C76" s="162" t="s">
        <v>36</v>
      </c>
      <c r="D76" s="157"/>
      <c r="E76" s="22" t="s">
        <v>25</v>
      </c>
      <c r="F76" s="10">
        <f t="shared" si="9"/>
        <v>51.220220864777097</v>
      </c>
      <c r="G76" s="9" t="s">
        <v>25</v>
      </c>
      <c r="H76" s="10">
        <f>51220.2208647771/1000</f>
        <v>51.220220864777097</v>
      </c>
      <c r="I76" s="10">
        <f t="shared" si="10"/>
        <v>50.04663</v>
      </c>
      <c r="J76" s="9" t="s">
        <v>25</v>
      </c>
      <c r="K76" s="15">
        <f>50046.63/1000</f>
        <v>50.04663</v>
      </c>
    </row>
    <row r="77" spans="1:11" s="32" customFormat="1" ht="30.75" customHeight="1" x14ac:dyDescent="0.25">
      <c r="A77" s="27"/>
      <c r="B77" s="166"/>
      <c r="C77" s="163" t="s">
        <v>37</v>
      </c>
      <c r="D77" s="164"/>
      <c r="E77" s="9" t="s">
        <v>25</v>
      </c>
      <c r="F77" s="10">
        <f t="shared" si="9"/>
        <v>43.596392267197601</v>
      </c>
      <c r="G77" s="9" t="s">
        <v>25</v>
      </c>
      <c r="H77" s="10">
        <f>43596.3922671976/1000</f>
        <v>43.596392267197601</v>
      </c>
      <c r="I77" s="10">
        <f t="shared" si="10"/>
        <v>36.542699999999996</v>
      </c>
      <c r="J77" s="9" t="s">
        <v>25</v>
      </c>
      <c r="K77" s="15">
        <f>36542.7/1000</f>
        <v>36.542699999999996</v>
      </c>
    </row>
    <row r="78" spans="1:11" s="32" customFormat="1" ht="32.25" customHeight="1" x14ac:dyDescent="0.25">
      <c r="A78" s="27"/>
      <c r="B78" s="166"/>
      <c r="C78" s="163" t="s">
        <v>38</v>
      </c>
      <c r="D78" s="164"/>
      <c r="E78" s="9" t="s">
        <v>25</v>
      </c>
      <c r="F78" s="10">
        <f t="shared" si="9"/>
        <v>35.335858014199601</v>
      </c>
      <c r="G78" s="9" t="s">
        <v>25</v>
      </c>
      <c r="H78" s="10">
        <f>35335.8580141996/1000</f>
        <v>35.335858014199601</v>
      </c>
      <c r="I78" s="19">
        <f t="shared" si="10"/>
        <v>35.407029999999999</v>
      </c>
      <c r="J78" s="9" t="s">
        <v>25</v>
      </c>
      <c r="K78" s="40">
        <f>35407.03/1000</f>
        <v>35.407029999999999</v>
      </c>
    </row>
    <row r="79" spans="1:11" s="32" customFormat="1" ht="31.5" customHeight="1" x14ac:dyDescent="0.25">
      <c r="A79" s="27"/>
      <c r="B79" s="166"/>
      <c r="C79" s="163" t="s">
        <v>39</v>
      </c>
      <c r="D79" s="164"/>
      <c r="E79" s="9" t="s">
        <v>25</v>
      </c>
      <c r="F79" s="10">
        <f t="shared" si="9"/>
        <v>31.736937098757799</v>
      </c>
      <c r="G79" s="9" t="s">
        <v>25</v>
      </c>
      <c r="H79" s="10">
        <f>31736.9370987578/1000</f>
        <v>31.736937098757799</v>
      </c>
      <c r="I79" s="19">
        <f t="shared" si="10"/>
        <v>29.146979999999999</v>
      </c>
      <c r="J79" s="9" t="s">
        <v>25</v>
      </c>
      <c r="K79" s="40">
        <f>29146.98/1000</f>
        <v>29.146979999999999</v>
      </c>
    </row>
    <row r="80" spans="1:11" s="32" customFormat="1" ht="28.5" customHeight="1" x14ac:dyDescent="0.25">
      <c r="A80" s="27"/>
      <c r="B80" s="166"/>
      <c r="C80" s="163" t="s">
        <v>40</v>
      </c>
      <c r="D80" s="164"/>
      <c r="E80" s="9" t="s">
        <v>25</v>
      </c>
      <c r="F80" s="10">
        <f t="shared" si="9"/>
        <v>24.098530712877199</v>
      </c>
      <c r="G80" s="9" t="s">
        <v>25</v>
      </c>
      <c r="H80" s="10">
        <f>24098.5307128772/1000</f>
        <v>24.098530712877199</v>
      </c>
      <c r="I80" s="19">
        <f t="shared" ref="I80:I103" si="11">K80</f>
        <v>0</v>
      </c>
      <c r="J80" s="9" t="s">
        <v>25</v>
      </c>
      <c r="K80" s="40">
        <v>0</v>
      </c>
    </row>
    <row r="81" spans="1:11" s="32" customFormat="1" ht="30.75" customHeight="1" x14ac:dyDescent="0.25">
      <c r="A81" s="27"/>
      <c r="B81" s="166"/>
      <c r="C81" s="146" t="s">
        <v>35</v>
      </c>
      <c r="D81" s="158"/>
      <c r="E81" s="11" t="s">
        <v>25</v>
      </c>
      <c r="F81" s="12">
        <f t="shared" si="9"/>
        <v>-50.811861037897394</v>
      </c>
      <c r="G81" s="11" t="s">
        <v>25</v>
      </c>
      <c r="H81" s="23">
        <f>-50811.8610378974/1000</f>
        <v>-50.811861037897394</v>
      </c>
      <c r="I81" s="12">
        <f>K81</f>
        <v>-45.471199999999996</v>
      </c>
      <c r="J81" s="11" t="s">
        <v>25</v>
      </c>
      <c r="K81" s="24">
        <f>-45471.2/1000</f>
        <v>-45.471199999999996</v>
      </c>
    </row>
    <row r="82" spans="1:11" s="32" customFormat="1" ht="30.75" customHeight="1" x14ac:dyDescent="0.25">
      <c r="A82" s="27"/>
      <c r="B82" s="166"/>
      <c r="C82" s="162" t="s">
        <v>36</v>
      </c>
      <c r="D82" s="157"/>
      <c r="E82" s="22" t="s">
        <v>25</v>
      </c>
      <c r="F82" s="10">
        <f t="shared" si="9"/>
        <v>-51.220220864777097</v>
      </c>
      <c r="G82" s="9" t="s">
        <v>25</v>
      </c>
      <c r="H82" s="25">
        <f>-51220.2208647771/1000</f>
        <v>-51.220220864777097</v>
      </c>
      <c r="I82" s="10">
        <f>K82</f>
        <v>-50.04663</v>
      </c>
      <c r="J82" s="9" t="s">
        <v>25</v>
      </c>
      <c r="K82" s="26">
        <f>-50046.63/1000</f>
        <v>-50.04663</v>
      </c>
    </row>
    <row r="83" spans="1:11" s="32" customFormat="1" ht="30.75" customHeight="1" x14ac:dyDescent="0.25">
      <c r="A83" s="27"/>
      <c r="B83" s="166"/>
      <c r="C83" s="163" t="s">
        <v>37</v>
      </c>
      <c r="D83" s="164"/>
      <c r="E83" s="9" t="s">
        <v>25</v>
      </c>
      <c r="F83" s="10">
        <f t="shared" si="9"/>
        <v>-43.596392267197601</v>
      </c>
      <c r="G83" s="9" t="s">
        <v>25</v>
      </c>
      <c r="H83" s="25">
        <f>-43596.3922671976/1000</f>
        <v>-43.596392267197601</v>
      </c>
      <c r="I83" s="10">
        <f>K83</f>
        <v>-36.542699999999996</v>
      </c>
      <c r="J83" s="9" t="s">
        <v>25</v>
      </c>
      <c r="K83" s="26">
        <f>-36542.7/1000</f>
        <v>-36.542699999999996</v>
      </c>
    </row>
    <row r="84" spans="1:11" s="32" customFormat="1" ht="32.25" customHeight="1" x14ac:dyDescent="0.25">
      <c r="A84" s="27"/>
      <c r="B84" s="166"/>
      <c r="C84" s="163" t="s">
        <v>38</v>
      </c>
      <c r="D84" s="164"/>
      <c r="E84" s="9" t="s">
        <v>25</v>
      </c>
      <c r="F84" s="10">
        <f t="shared" si="9"/>
        <v>-35.335858014199601</v>
      </c>
      <c r="G84" s="9" t="s">
        <v>25</v>
      </c>
      <c r="H84" s="25">
        <f>-35335.8580141996/1000</f>
        <v>-35.335858014199601</v>
      </c>
      <c r="I84" s="19">
        <f>K84</f>
        <v>-35.407029999999999</v>
      </c>
      <c r="J84" s="9" t="s">
        <v>25</v>
      </c>
      <c r="K84" s="52">
        <f>-35407.03/1000</f>
        <v>-35.407029999999999</v>
      </c>
    </row>
    <row r="85" spans="1:11" s="32" customFormat="1" ht="31.5" customHeight="1" x14ac:dyDescent="0.25">
      <c r="A85" s="27"/>
      <c r="B85" s="166"/>
      <c r="C85" s="163" t="s">
        <v>39</v>
      </c>
      <c r="D85" s="164"/>
      <c r="E85" s="9" t="s">
        <v>25</v>
      </c>
      <c r="F85" s="10">
        <f t="shared" si="9"/>
        <v>-31.736937098757799</v>
      </c>
      <c r="G85" s="9" t="s">
        <v>25</v>
      </c>
      <c r="H85" s="25">
        <f>-31736.9370987578/1000</f>
        <v>-31.736937098757799</v>
      </c>
      <c r="I85" s="19">
        <f>K85</f>
        <v>-29.146979999999999</v>
      </c>
      <c r="J85" s="9" t="s">
        <v>25</v>
      </c>
      <c r="K85" s="52">
        <f>-29146.98/1000</f>
        <v>-29.146979999999999</v>
      </c>
    </row>
    <row r="86" spans="1:11" s="32" customFormat="1" ht="28.5" customHeight="1" thickBot="1" x14ac:dyDescent="0.3">
      <c r="A86" s="27"/>
      <c r="B86" s="168"/>
      <c r="C86" s="174" t="s">
        <v>40</v>
      </c>
      <c r="D86" s="175"/>
      <c r="E86" s="28" t="s">
        <v>25</v>
      </c>
      <c r="F86" s="29">
        <f t="shared" si="9"/>
        <v>-24.098530712877199</v>
      </c>
      <c r="G86" s="28" t="s">
        <v>25</v>
      </c>
      <c r="H86" s="53">
        <f>-24098.5307128772/1000</f>
        <v>-24.098530712877199</v>
      </c>
      <c r="I86" s="30">
        <f t="shared" ref="I86" si="12">K86</f>
        <v>0</v>
      </c>
      <c r="J86" s="28" t="s">
        <v>25</v>
      </c>
      <c r="K86" s="54">
        <v>0</v>
      </c>
    </row>
    <row r="87" spans="1:11" s="32" customFormat="1" ht="31.5" hidden="1" customHeight="1" x14ac:dyDescent="0.25">
      <c r="A87" s="27"/>
      <c r="B87" s="165" t="s">
        <v>77</v>
      </c>
      <c r="C87" s="37" t="s">
        <v>26</v>
      </c>
      <c r="D87" s="37" t="s">
        <v>27</v>
      </c>
      <c r="E87" s="37" t="s">
        <v>25</v>
      </c>
      <c r="F87" s="38" t="s">
        <v>25</v>
      </c>
      <c r="G87" s="38"/>
      <c r="H87" s="38"/>
      <c r="I87" s="38">
        <f t="shared" si="11"/>
        <v>0</v>
      </c>
      <c r="J87" s="38"/>
      <c r="K87" s="39"/>
    </row>
    <row r="88" spans="1:11" s="32" customFormat="1" ht="30.75" customHeight="1" x14ac:dyDescent="0.25">
      <c r="A88" s="27"/>
      <c r="B88" s="166"/>
      <c r="C88" s="146" t="s">
        <v>35</v>
      </c>
      <c r="D88" s="158"/>
      <c r="E88" s="11" t="s">
        <v>25</v>
      </c>
      <c r="F88" s="12">
        <f t="shared" si="9"/>
        <v>49.382745600892306</v>
      </c>
      <c r="G88" s="11" t="s">
        <v>25</v>
      </c>
      <c r="H88" s="12">
        <f>49382.7456008923/1000</f>
        <v>49.382745600892306</v>
      </c>
      <c r="I88" s="12">
        <f t="shared" si="11"/>
        <v>45.471199999999996</v>
      </c>
      <c r="J88" s="11" t="s">
        <v>25</v>
      </c>
      <c r="K88" s="18">
        <f>45471.2/1000</f>
        <v>45.471199999999996</v>
      </c>
    </row>
    <row r="89" spans="1:11" s="32" customFormat="1" ht="30.75" customHeight="1" x14ac:dyDescent="0.25">
      <c r="A89" s="27"/>
      <c r="B89" s="166"/>
      <c r="C89" s="163" t="s">
        <v>36</v>
      </c>
      <c r="D89" s="164"/>
      <c r="E89" s="22" t="s">
        <v>25</v>
      </c>
      <c r="F89" s="10">
        <f t="shared" si="9"/>
        <v>51.661205073137197</v>
      </c>
      <c r="G89" s="9" t="s">
        <v>25</v>
      </c>
      <c r="H89" s="10">
        <f>51661.2050731372/1000</f>
        <v>51.661205073137197</v>
      </c>
      <c r="I89" s="10">
        <f t="shared" si="11"/>
        <v>51.449550000000002</v>
      </c>
      <c r="J89" s="9" t="s">
        <v>25</v>
      </c>
      <c r="K89" s="15">
        <f>51449.55/1000</f>
        <v>51.449550000000002</v>
      </c>
    </row>
    <row r="90" spans="1:11" s="32" customFormat="1" ht="30.75" customHeight="1" x14ac:dyDescent="0.25">
      <c r="A90" s="27"/>
      <c r="B90" s="166"/>
      <c r="C90" s="163" t="s">
        <v>37</v>
      </c>
      <c r="D90" s="164"/>
      <c r="E90" s="9" t="s">
        <v>25</v>
      </c>
      <c r="F90" s="10">
        <f t="shared" si="9"/>
        <v>44.642602562456297</v>
      </c>
      <c r="G90" s="9" t="s">
        <v>25</v>
      </c>
      <c r="H90" s="10">
        <f>44642.6025624563/1000</f>
        <v>44.642602562456297</v>
      </c>
      <c r="I90" s="10">
        <f t="shared" si="11"/>
        <v>36.855249999999998</v>
      </c>
      <c r="J90" s="9" t="s">
        <v>25</v>
      </c>
      <c r="K90" s="15">
        <f>36855.25/1000</f>
        <v>36.855249999999998</v>
      </c>
    </row>
    <row r="91" spans="1:11" s="32" customFormat="1" ht="32.25" customHeight="1" x14ac:dyDescent="0.25">
      <c r="A91" s="27"/>
      <c r="B91" s="166"/>
      <c r="C91" s="163" t="s">
        <v>38</v>
      </c>
      <c r="D91" s="164"/>
      <c r="E91" s="9" t="s">
        <v>25</v>
      </c>
      <c r="F91" s="10">
        <f t="shared" si="9"/>
        <v>35.5641421735777</v>
      </c>
      <c r="G91" s="9" t="s">
        <v>25</v>
      </c>
      <c r="H91" s="10">
        <f>35564.1421735777/1000</f>
        <v>35.5641421735777</v>
      </c>
      <c r="I91" s="19">
        <f t="shared" si="11"/>
        <v>35.407019999999996</v>
      </c>
      <c r="J91" s="9" t="s">
        <v>25</v>
      </c>
      <c r="K91" s="40">
        <f>35407.02/1000</f>
        <v>35.407019999999996</v>
      </c>
    </row>
    <row r="92" spans="1:11" s="32" customFormat="1" ht="31.5" customHeight="1" x14ac:dyDescent="0.25">
      <c r="A92" s="27"/>
      <c r="B92" s="166"/>
      <c r="C92" s="163" t="s">
        <v>39</v>
      </c>
      <c r="D92" s="164"/>
      <c r="E92" s="9" t="s">
        <v>25</v>
      </c>
      <c r="F92" s="10">
        <f t="shared" si="9"/>
        <v>31.736937098757799</v>
      </c>
      <c r="G92" s="9" t="s">
        <v>25</v>
      </c>
      <c r="H92" s="10">
        <f>31736.9370987578/1000</f>
        <v>31.736937098757799</v>
      </c>
      <c r="I92" s="19">
        <f t="shared" si="11"/>
        <v>29.146979999999999</v>
      </c>
      <c r="J92" s="9" t="s">
        <v>25</v>
      </c>
      <c r="K92" s="40">
        <f>29146.98/1000</f>
        <v>29.146979999999999</v>
      </c>
    </row>
    <row r="93" spans="1:11" ht="31.5" customHeight="1" x14ac:dyDescent="0.25">
      <c r="B93" s="166"/>
      <c r="C93" s="163" t="s">
        <v>40</v>
      </c>
      <c r="D93" s="164"/>
      <c r="E93" s="9" t="s">
        <v>25</v>
      </c>
      <c r="F93" s="10">
        <f t="shared" si="9"/>
        <v>24.098530712877199</v>
      </c>
      <c r="G93" s="9" t="s">
        <v>25</v>
      </c>
      <c r="H93" s="10">
        <f>24098.5307128772/1000</f>
        <v>24.098530712877199</v>
      </c>
      <c r="I93" s="19">
        <f t="shared" si="11"/>
        <v>0</v>
      </c>
      <c r="J93" s="9" t="s">
        <v>25</v>
      </c>
      <c r="K93" s="40">
        <v>0</v>
      </c>
    </row>
    <row r="94" spans="1:11" s="32" customFormat="1" ht="30.75" customHeight="1" x14ac:dyDescent="0.25">
      <c r="A94" s="27"/>
      <c r="B94" s="166"/>
      <c r="C94" s="146" t="s">
        <v>35</v>
      </c>
      <c r="D94" s="158"/>
      <c r="E94" s="11" t="s">
        <v>25</v>
      </c>
      <c r="F94" s="12">
        <f t="shared" si="9"/>
        <v>-49.382745600892306</v>
      </c>
      <c r="G94" s="11" t="s">
        <v>25</v>
      </c>
      <c r="H94" s="23">
        <f>-49382.7456008923/1000</f>
        <v>-49.382745600892306</v>
      </c>
      <c r="I94" s="12">
        <f t="shared" si="11"/>
        <v>-45.471199999999996</v>
      </c>
      <c r="J94" s="11" t="s">
        <v>25</v>
      </c>
      <c r="K94" s="24">
        <f>-45471.2/1000</f>
        <v>-45.471199999999996</v>
      </c>
    </row>
    <row r="95" spans="1:11" s="32" customFormat="1" ht="30.75" customHeight="1" x14ac:dyDescent="0.25">
      <c r="A95" s="27"/>
      <c r="B95" s="166"/>
      <c r="C95" s="163" t="s">
        <v>36</v>
      </c>
      <c r="D95" s="164"/>
      <c r="E95" s="22" t="s">
        <v>25</v>
      </c>
      <c r="F95" s="10">
        <f t="shared" si="9"/>
        <v>-51.661205073137197</v>
      </c>
      <c r="G95" s="9" t="s">
        <v>25</v>
      </c>
      <c r="H95" s="25">
        <f>-51661.2050731372/1000</f>
        <v>-51.661205073137197</v>
      </c>
      <c r="I95" s="10">
        <f t="shared" si="11"/>
        <v>-51.449550000000002</v>
      </c>
      <c r="J95" s="9" t="s">
        <v>25</v>
      </c>
      <c r="K95" s="26">
        <f>-51449.55/1000</f>
        <v>-51.449550000000002</v>
      </c>
    </row>
    <row r="96" spans="1:11" s="32" customFormat="1" ht="30.75" customHeight="1" x14ac:dyDescent="0.25">
      <c r="A96" s="27"/>
      <c r="B96" s="166"/>
      <c r="C96" s="163" t="s">
        <v>37</v>
      </c>
      <c r="D96" s="164"/>
      <c r="E96" s="9" t="s">
        <v>25</v>
      </c>
      <c r="F96" s="10">
        <f t="shared" si="9"/>
        <v>-44.642602562456297</v>
      </c>
      <c r="G96" s="9" t="s">
        <v>25</v>
      </c>
      <c r="H96" s="25">
        <f>-44642.6025624563/1000</f>
        <v>-44.642602562456297</v>
      </c>
      <c r="I96" s="10">
        <f t="shared" si="11"/>
        <v>-36.855249999999998</v>
      </c>
      <c r="J96" s="9" t="s">
        <v>25</v>
      </c>
      <c r="K96" s="26">
        <f>-36855.25/1000</f>
        <v>-36.855249999999998</v>
      </c>
    </row>
    <row r="97" spans="1:11" s="32" customFormat="1" ht="32.25" customHeight="1" x14ac:dyDescent="0.25">
      <c r="A97" s="27"/>
      <c r="B97" s="166"/>
      <c r="C97" s="163" t="s">
        <v>38</v>
      </c>
      <c r="D97" s="164"/>
      <c r="E97" s="9" t="s">
        <v>25</v>
      </c>
      <c r="F97" s="10">
        <f t="shared" si="9"/>
        <v>-35.5641421735777</v>
      </c>
      <c r="G97" s="9" t="s">
        <v>25</v>
      </c>
      <c r="H97" s="25">
        <f>-35564.1421735777/1000</f>
        <v>-35.5641421735777</v>
      </c>
      <c r="I97" s="19">
        <f t="shared" si="11"/>
        <v>-35.407019999999996</v>
      </c>
      <c r="J97" s="9" t="s">
        <v>25</v>
      </c>
      <c r="K97" s="52">
        <f>-35407.02/1000</f>
        <v>-35.407019999999996</v>
      </c>
    </row>
    <row r="98" spans="1:11" s="32" customFormat="1" ht="31.5" customHeight="1" x14ac:dyDescent="0.25">
      <c r="A98" s="27"/>
      <c r="B98" s="166"/>
      <c r="C98" s="163" t="s">
        <v>39</v>
      </c>
      <c r="D98" s="164"/>
      <c r="E98" s="9" t="s">
        <v>25</v>
      </c>
      <c r="F98" s="10">
        <f t="shared" si="9"/>
        <v>-31.736937098757799</v>
      </c>
      <c r="G98" s="9" t="s">
        <v>25</v>
      </c>
      <c r="H98" s="25">
        <f>-31736.9370987578/1000</f>
        <v>-31.736937098757799</v>
      </c>
      <c r="I98" s="19">
        <f t="shared" si="11"/>
        <v>-29.146979999999999</v>
      </c>
      <c r="J98" s="9" t="s">
        <v>25</v>
      </c>
      <c r="K98" s="52">
        <f>-29146.98/1000</f>
        <v>-29.146979999999999</v>
      </c>
    </row>
    <row r="99" spans="1:11" ht="31.5" customHeight="1" thickBot="1" x14ac:dyDescent="0.3">
      <c r="B99" s="168"/>
      <c r="C99" s="174" t="s">
        <v>40</v>
      </c>
      <c r="D99" s="175"/>
      <c r="E99" s="28" t="s">
        <v>25</v>
      </c>
      <c r="F99" s="29">
        <f t="shared" si="9"/>
        <v>-24.098530712877199</v>
      </c>
      <c r="G99" s="28" t="s">
        <v>25</v>
      </c>
      <c r="H99" s="53">
        <f>-24098.5307128772/1000</f>
        <v>-24.098530712877199</v>
      </c>
      <c r="I99" s="30">
        <f t="shared" si="11"/>
        <v>0</v>
      </c>
      <c r="J99" s="28" t="s">
        <v>25</v>
      </c>
      <c r="K99" s="54">
        <v>0</v>
      </c>
    </row>
    <row r="100" spans="1:11" ht="63.75" customHeight="1" thickBot="1" x14ac:dyDescent="0.3">
      <c r="B100" s="55" t="s">
        <v>78</v>
      </c>
      <c r="C100" s="44" t="s">
        <v>79</v>
      </c>
      <c r="D100" s="56" t="s">
        <v>27</v>
      </c>
      <c r="E100" s="44" t="s">
        <v>25</v>
      </c>
      <c r="F100" s="45">
        <f t="shared" si="9"/>
        <v>125.29077000000001</v>
      </c>
      <c r="G100" s="44" t="s">
        <v>80</v>
      </c>
      <c r="H100" s="57">
        <f>K100</f>
        <v>125.29077000000001</v>
      </c>
      <c r="I100" s="46">
        <f t="shared" si="11"/>
        <v>125.29077000000001</v>
      </c>
      <c r="J100" s="44" t="s">
        <v>81</v>
      </c>
      <c r="K100" s="58">
        <f>125290.77/1000</f>
        <v>125.29077000000001</v>
      </c>
    </row>
    <row r="101" spans="1:11" ht="63.75" customHeight="1" thickBot="1" x14ac:dyDescent="0.3">
      <c r="B101" s="55" t="s">
        <v>82</v>
      </c>
      <c r="C101" s="59" t="s">
        <v>79</v>
      </c>
      <c r="D101" s="56" t="s">
        <v>27</v>
      </c>
      <c r="E101" s="44" t="s">
        <v>25</v>
      </c>
      <c r="F101" s="60">
        <f t="shared" si="9"/>
        <v>94.917249999999996</v>
      </c>
      <c r="G101" s="59" t="s">
        <v>80</v>
      </c>
      <c r="H101" s="61">
        <f>K101</f>
        <v>94.917249999999996</v>
      </c>
      <c r="I101" s="62">
        <f t="shared" si="11"/>
        <v>94.917249999999996</v>
      </c>
      <c r="J101" s="59" t="s">
        <v>81</v>
      </c>
      <c r="K101" s="63">
        <f>94917.25/1000</f>
        <v>94.917249999999996</v>
      </c>
    </row>
    <row r="102" spans="1:11" ht="63.75" customHeight="1" thickBot="1" x14ac:dyDescent="0.3">
      <c r="B102" s="55" t="s">
        <v>83</v>
      </c>
      <c r="C102" s="59" t="s">
        <v>79</v>
      </c>
      <c r="D102" s="56" t="s">
        <v>27</v>
      </c>
      <c r="E102" s="44" t="s">
        <v>25</v>
      </c>
      <c r="F102" s="60">
        <f t="shared" si="9"/>
        <v>94.917249999999996</v>
      </c>
      <c r="G102" s="59" t="s">
        <v>80</v>
      </c>
      <c r="H102" s="61">
        <f>K102</f>
        <v>94.917249999999996</v>
      </c>
      <c r="I102" s="62">
        <f t="shared" si="11"/>
        <v>94.917249999999996</v>
      </c>
      <c r="J102" s="59" t="s">
        <v>81</v>
      </c>
      <c r="K102" s="63">
        <f>94917.25/1000</f>
        <v>94.917249999999996</v>
      </c>
    </row>
    <row r="103" spans="1:11" ht="63.75" customHeight="1" thickBot="1" x14ac:dyDescent="0.3">
      <c r="B103" s="55" t="s">
        <v>84</v>
      </c>
      <c r="C103" s="59" t="s">
        <v>79</v>
      </c>
      <c r="D103" s="56" t="s">
        <v>27</v>
      </c>
      <c r="E103" s="44" t="s">
        <v>25</v>
      </c>
      <c r="F103" s="45">
        <f t="shared" si="9"/>
        <v>64.543720000000008</v>
      </c>
      <c r="G103" s="11" t="s">
        <v>80</v>
      </c>
      <c r="H103" s="64">
        <f>K103</f>
        <v>64.543720000000008</v>
      </c>
      <c r="I103" s="46">
        <f t="shared" si="11"/>
        <v>64.543720000000008</v>
      </c>
      <c r="J103" s="44" t="s">
        <v>81</v>
      </c>
      <c r="K103" s="58">
        <f>64543.72/1000</f>
        <v>64.543720000000008</v>
      </c>
    </row>
    <row r="104" spans="1:11" ht="48.75" customHeight="1" x14ac:dyDescent="0.25">
      <c r="B104" s="165" t="s">
        <v>85</v>
      </c>
      <c r="C104" s="148" t="s">
        <v>86</v>
      </c>
      <c r="D104" s="148" t="s">
        <v>87</v>
      </c>
      <c r="E104" s="180">
        <f>449957.6/1000</f>
        <v>449.95759999999996</v>
      </c>
      <c r="F104" s="151">
        <f>H104+H105</f>
        <v>449.95760000000001</v>
      </c>
      <c r="G104" s="65" t="s">
        <v>88</v>
      </c>
      <c r="H104" s="38">
        <f>K104+K105-H105</f>
        <v>172.49900000000002</v>
      </c>
      <c r="I104" s="151">
        <f>K104+K105</f>
        <v>449.95760000000001</v>
      </c>
      <c r="J104" s="151" t="s">
        <v>89</v>
      </c>
      <c r="K104" s="39">
        <f>299979.6/1000</f>
        <v>299.9796</v>
      </c>
    </row>
    <row r="105" spans="1:11" ht="30" customHeight="1" thickBot="1" x14ac:dyDescent="0.3">
      <c r="B105" s="168"/>
      <c r="C105" s="178"/>
      <c r="D105" s="178"/>
      <c r="E105" s="181"/>
      <c r="F105" s="179"/>
      <c r="G105" s="66" t="s">
        <v>90</v>
      </c>
      <c r="H105" s="45">
        <f>277458.6/1000</f>
        <v>277.45859999999999</v>
      </c>
      <c r="I105" s="179"/>
      <c r="J105" s="179"/>
      <c r="K105" s="67">
        <f>149978/1000</f>
        <v>149.97800000000001</v>
      </c>
    </row>
    <row r="106" spans="1:11" s="32" customFormat="1" ht="16.5" customHeight="1" thickBot="1" x14ac:dyDescent="0.3">
      <c r="A106" s="27"/>
      <c r="B106" s="68"/>
      <c r="C106" s="69"/>
      <c r="D106" s="69"/>
      <c r="E106" s="69"/>
      <c r="F106" s="69"/>
      <c r="G106" s="69"/>
      <c r="H106" s="69"/>
      <c r="I106" s="69"/>
      <c r="J106" s="69"/>
      <c r="K106" s="70"/>
    </row>
    <row r="107" spans="1:11" s="32" customFormat="1" ht="45" customHeight="1" x14ac:dyDescent="0.25">
      <c r="A107" s="27"/>
      <c r="B107" s="176" t="s">
        <v>91</v>
      </c>
      <c r="C107" s="37" t="s">
        <v>21</v>
      </c>
      <c r="D107" s="37" t="s">
        <v>22</v>
      </c>
      <c r="E107" s="37" t="s">
        <v>23</v>
      </c>
      <c r="F107" s="38">
        <f>H107</f>
        <v>150</v>
      </c>
      <c r="G107" s="38" t="s">
        <v>92</v>
      </c>
      <c r="H107" s="38">
        <f>150000/1000</f>
        <v>150</v>
      </c>
      <c r="I107" s="50">
        <f t="shared" ref="I107:I114" si="13">K107</f>
        <v>0</v>
      </c>
      <c r="J107" s="38" t="s">
        <v>25</v>
      </c>
      <c r="K107" s="39">
        <v>0</v>
      </c>
    </row>
    <row r="108" spans="1:11" s="32" customFormat="1" ht="45" x14ac:dyDescent="0.25">
      <c r="A108" s="27"/>
      <c r="B108" s="177"/>
      <c r="C108" s="9" t="s">
        <v>26</v>
      </c>
      <c r="D108" s="9" t="s">
        <v>27</v>
      </c>
      <c r="E108" s="10" t="s">
        <v>25</v>
      </c>
      <c r="F108" s="10">
        <f t="shared" ref="F108:F114" si="14">H108</f>
        <v>143.3400044</v>
      </c>
      <c r="G108" s="10" t="s">
        <v>93</v>
      </c>
      <c r="H108" s="19">
        <f>143340.0044/1000</f>
        <v>143.3400044</v>
      </c>
      <c r="I108" s="19">
        <f>K108</f>
        <v>143.34</v>
      </c>
      <c r="J108" s="10" t="s">
        <v>94</v>
      </c>
      <c r="K108" s="40">
        <f>143340/1000</f>
        <v>143.34</v>
      </c>
    </row>
    <row r="109" spans="1:11" s="32" customFormat="1" ht="45" x14ac:dyDescent="0.25">
      <c r="A109" s="27"/>
      <c r="B109" s="177"/>
      <c r="C109" s="9" t="s">
        <v>95</v>
      </c>
      <c r="D109" s="17" t="s">
        <v>96</v>
      </c>
      <c r="E109" s="10">
        <v>596.25</v>
      </c>
      <c r="F109" s="10">
        <f t="shared" si="14"/>
        <v>596.25</v>
      </c>
      <c r="G109" s="10" t="s">
        <v>97</v>
      </c>
      <c r="H109" s="19">
        <f>596250/1000</f>
        <v>596.25</v>
      </c>
      <c r="I109" s="19">
        <f>K109</f>
        <v>596.25</v>
      </c>
      <c r="J109" s="10" t="s">
        <v>98</v>
      </c>
      <c r="K109" s="40">
        <f>596250/1000</f>
        <v>596.25</v>
      </c>
    </row>
    <row r="110" spans="1:11" s="32" customFormat="1" ht="31.5" customHeight="1" x14ac:dyDescent="0.25">
      <c r="A110" s="27"/>
      <c r="B110" s="177"/>
      <c r="C110" s="163" t="s">
        <v>99</v>
      </c>
      <c r="D110" s="164"/>
      <c r="E110" s="9" t="s">
        <v>25</v>
      </c>
      <c r="F110" s="10">
        <f t="shared" si="14"/>
        <v>25.7105892361967</v>
      </c>
      <c r="G110" s="9" t="s">
        <v>25</v>
      </c>
      <c r="H110" s="10">
        <f>25710.5892361967/1000</f>
        <v>25.7105892361967</v>
      </c>
      <c r="I110" s="19">
        <f>K110</f>
        <v>84.116169999999997</v>
      </c>
      <c r="J110" s="9" t="s">
        <v>25</v>
      </c>
      <c r="K110" s="40">
        <f>84116.17/1000</f>
        <v>84.116169999999997</v>
      </c>
    </row>
    <row r="111" spans="1:11" s="32" customFormat="1" ht="37.5" customHeight="1" x14ac:dyDescent="0.25">
      <c r="A111" s="27"/>
      <c r="B111" s="177"/>
      <c r="C111" s="163" t="s">
        <v>100</v>
      </c>
      <c r="D111" s="164"/>
      <c r="E111" s="9" t="s">
        <v>25</v>
      </c>
      <c r="F111" s="10">
        <f t="shared" si="14"/>
        <v>75.398941447071806</v>
      </c>
      <c r="G111" s="9" t="s">
        <v>25</v>
      </c>
      <c r="H111" s="10">
        <f>75398.9414470718/1000</f>
        <v>75.398941447071806</v>
      </c>
      <c r="I111" s="19">
        <f t="shared" ref="I111" si="15">K111</f>
        <v>67.770089999999996</v>
      </c>
      <c r="J111" s="9" t="s">
        <v>25</v>
      </c>
      <c r="K111" s="40">
        <f>67770.09/1000</f>
        <v>67.770089999999996</v>
      </c>
    </row>
    <row r="112" spans="1:11" s="32" customFormat="1" ht="31.5" customHeight="1" x14ac:dyDescent="0.25">
      <c r="A112" s="27"/>
      <c r="B112" s="177"/>
      <c r="C112" s="163" t="s">
        <v>99</v>
      </c>
      <c r="D112" s="164"/>
      <c r="E112" s="9" t="s">
        <v>25</v>
      </c>
      <c r="F112" s="10">
        <f t="shared" si="14"/>
        <v>-25.7105892361967</v>
      </c>
      <c r="G112" s="9" t="s">
        <v>25</v>
      </c>
      <c r="H112" s="25">
        <f>-25710.5892361967/1000</f>
        <v>-25.7105892361967</v>
      </c>
      <c r="I112" s="19">
        <f>K112</f>
        <v>-84.116169999999997</v>
      </c>
      <c r="J112" s="9" t="s">
        <v>25</v>
      </c>
      <c r="K112" s="52">
        <f>-84116.17/1000</f>
        <v>-84.116169999999997</v>
      </c>
    </row>
    <row r="113" spans="1:11" s="32" customFormat="1" ht="37.5" customHeight="1" thickBot="1" x14ac:dyDescent="0.3">
      <c r="A113" s="27"/>
      <c r="B113" s="177"/>
      <c r="C113" s="163" t="s">
        <v>100</v>
      </c>
      <c r="D113" s="164"/>
      <c r="E113" s="9" t="s">
        <v>25</v>
      </c>
      <c r="F113" s="10">
        <f t="shared" si="14"/>
        <v>-75.398941447071806</v>
      </c>
      <c r="G113" s="9" t="s">
        <v>25</v>
      </c>
      <c r="H113" s="25">
        <f>-75398.9414470718/1000</f>
        <v>-75.398941447071806</v>
      </c>
      <c r="I113" s="19">
        <f t="shared" ref="I113" si="16">K113</f>
        <v>-67.770089999999996</v>
      </c>
      <c r="J113" s="9" t="s">
        <v>25</v>
      </c>
      <c r="K113" s="52">
        <f>-67770.09/1000</f>
        <v>-67.770089999999996</v>
      </c>
    </row>
    <row r="114" spans="1:11" s="32" customFormat="1" ht="28.5" customHeight="1" x14ac:dyDescent="0.25">
      <c r="A114" s="27"/>
      <c r="B114" s="176" t="s">
        <v>101</v>
      </c>
      <c r="C114" s="37" t="s">
        <v>21</v>
      </c>
      <c r="D114" s="37" t="s">
        <v>22</v>
      </c>
      <c r="E114" s="37" t="s">
        <v>23</v>
      </c>
      <c r="F114" s="38">
        <f t="shared" si="14"/>
        <v>300</v>
      </c>
      <c r="G114" s="38" t="s">
        <v>102</v>
      </c>
      <c r="H114" s="38">
        <f>300000/1000</f>
        <v>300</v>
      </c>
      <c r="I114" s="50">
        <f t="shared" si="13"/>
        <v>0</v>
      </c>
      <c r="J114" s="38" t="s">
        <v>25</v>
      </c>
      <c r="K114" s="39">
        <v>0</v>
      </c>
    </row>
    <row r="115" spans="1:11" s="32" customFormat="1" ht="28.5" customHeight="1" thickBot="1" x14ac:dyDescent="0.3">
      <c r="A115" s="27"/>
      <c r="B115" s="177"/>
      <c r="C115" s="156" t="s">
        <v>103</v>
      </c>
      <c r="D115" s="156" t="s">
        <v>104</v>
      </c>
      <c r="E115" s="182">
        <f>1221300/1000</f>
        <v>1221.3</v>
      </c>
      <c r="F115" s="160">
        <f>H115+H116+H117</f>
        <v>246.73995000000002</v>
      </c>
      <c r="G115" s="10" t="s">
        <v>105</v>
      </c>
      <c r="H115" s="10">
        <f>246739.95/1000</f>
        <v>246.73995000000002</v>
      </c>
      <c r="I115" s="160">
        <f>K115+K116+K117</f>
        <v>0</v>
      </c>
      <c r="J115" s="10" t="s">
        <v>25</v>
      </c>
      <c r="K115" s="15">
        <v>0</v>
      </c>
    </row>
    <row r="116" spans="1:11" s="32" customFormat="1" ht="28.5" hidden="1" customHeight="1" thickBot="1" x14ac:dyDescent="0.3">
      <c r="A116" s="27"/>
      <c r="B116" s="177"/>
      <c r="C116" s="156"/>
      <c r="D116" s="156"/>
      <c r="E116" s="182"/>
      <c r="F116" s="160"/>
      <c r="G116" s="10"/>
      <c r="H116" s="10"/>
      <c r="I116" s="160"/>
      <c r="J116" s="10"/>
      <c r="K116" s="15"/>
    </row>
    <row r="117" spans="1:11" s="32" customFormat="1" ht="16.5" hidden="1" customHeight="1" thickBot="1" x14ac:dyDescent="0.3">
      <c r="A117" s="27"/>
      <c r="B117" s="177"/>
      <c r="C117" s="156"/>
      <c r="D117" s="156"/>
      <c r="E117" s="182"/>
      <c r="F117" s="160"/>
      <c r="G117" s="10"/>
      <c r="H117" s="10"/>
      <c r="I117" s="160"/>
      <c r="J117" s="10"/>
      <c r="K117" s="15"/>
    </row>
    <row r="118" spans="1:11" s="32" customFormat="1" ht="16.5" thickBot="1" x14ac:dyDescent="0.3">
      <c r="A118" s="27"/>
      <c r="B118" s="71" t="s">
        <v>106</v>
      </c>
      <c r="C118" s="72"/>
      <c r="D118" s="72"/>
      <c r="E118" s="72"/>
      <c r="F118" s="73">
        <f>SUM(F9:F117)</f>
        <v>30410.409644400006</v>
      </c>
      <c r="G118" s="59"/>
      <c r="H118" s="73">
        <f>SUM(H9:H117)</f>
        <v>30410.409644400006</v>
      </c>
      <c r="I118" s="73">
        <f>SUM(I9:I117)</f>
        <v>13300.102818200003</v>
      </c>
      <c r="J118" s="73"/>
      <c r="K118" s="74">
        <f>SUM(K9:K117)</f>
        <v>13300.102818200003</v>
      </c>
    </row>
    <row r="119" spans="1:11" s="32" customFormat="1" ht="39" customHeight="1" thickBot="1" x14ac:dyDescent="0.3">
      <c r="A119" s="27"/>
      <c r="B119" s="71" t="s">
        <v>107</v>
      </c>
      <c r="C119" s="72"/>
      <c r="D119" s="72"/>
      <c r="E119" s="72"/>
      <c r="F119" s="73">
        <f>H119</f>
        <v>4911.5965060888793</v>
      </c>
      <c r="G119" s="60"/>
      <c r="H119" s="73">
        <f>K119</f>
        <v>4911.5965060888793</v>
      </c>
      <c r="I119" s="73">
        <f>K119</f>
        <v>4911.5965060888793</v>
      </c>
      <c r="J119" s="60"/>
      <c r="K119" s="74">
        <v>4911.5965060888793</v>
      </c>
    </row>
    <row r="120" spans="1:11" s="32" customFormat="1" ht="32.25" thickBot="1" x14ac:dyDescent="0.3">
      <c r="A120" s="27"/>
      <c r="B120" s="71" t="s">
        <v>108</v>
      </c>
      <c r="C120" s="72"/>
      <c r="D120" s="72"/>
      <c r="E120" s="72"/>
      <c r="F120" s="73">
        <f>F118+F119</f>
        <v>35322.006150488887</v>
      </c>
      <c r="G120" s="59"/>
      <c r="H120" s="73">
        <f>H118+H119</f>
        <v>35322.006150488887</v>
      </c>
      <c r="I120" s="73">
        <f>I118+I119</f>
        <v>18211.699324288882</v>
      </c>
      <c r="J120" s="60"/>
      <c r="K120" s="74">
        <f>K118+K119</f>
        <v>18211.699324288882</v>
      </c>
    </row>
    <row r="121" spans="1:11" s="32" customFormat="1" ht="16.5" customHeight="1" thickBot="1" x14ac:dyDescent="0.3">
      <c r="A121" s="27"/>
      <c r="B121" s="75"/>
      <c r="C121" s="76"/>
      <c r="D121" s="76"/>
      <c r="E121" s="76"/>
      <c r="F121" s="77" t="s">
        <v>109</v>
      </c>
      <c r="G121" s="76"/>
      <c r="H121" s="76"/>
      <c r="I121" s="76"/>
      <c r="J121" s="76"/>
      <c r="K121" s="78"/>
    </row>
    <row r="122" spans="1:11" s="32" customFormat="1" ht="60" customHeight="1" x14ac:dyDescent="0.25">
      <c r="A122" s="27"/>
      <c r="B122" s="165" t="s">
        <v>110</v>
      </c>
      <c r="C122" s="37" t="s">
        <v>21</v>
      </c>
      <c r="D122" s="37" t="s">
        <v>22</v>
      </c>
      <c r="E122" s="37" t="s">
        <v>111</v>
      </c>
      <c r="F122" s="38">
        <f>H122</f>
        <v>400</v>
      </c>
      <c r="G122" s="38" t="s">
        <v>112</v>
      </c>
      <c r="H122" s="38">
        <f>400000/1000</f>
        <v>400</v>
      </c>
      <c r="I122" s="38" t="s">
        <v>25</v>
      </c>
      <c r="J122" s="38" t="s">
        <v>25</v>
      </c>
      <c r="K122" s="39">
        <v>0</v>
      </c>
    </row>
    <row r="123" spans="1:11" s="32" customFormat="1" ht="45" x14ac:dyDescent="0.25">
      <c r="A123" s="27"/>
      <c r="B123" s="166"/>
      <c r="C123" s="161" t="s">
        <v>113</v>
      </c>
      <c r="D123" s="161" t="s">
        <v>114</v>
      </c>
      <c r="E123" s="159">
        <v>82000</v>
      </c>
      <c r="F123" s="159">
        <f>H123+H124+H125+H126+H127+H128+H129+H130+H131+H132+H133+H134+H135+H136+H139+H137+H138+H140+H141+H142+H143</f>
        <v>4406.9216200000001</v>
      </c>
      <c r="G123" s="10" t="s">
        <v>115</v>
      </c>
      <c r="H123" s="10">
        <f>1421382.3/1000</f>
        <v>1421.3823</v>
      </c>
      <c r="I123" s="159">
        <f>K123+K125+K124+K126+K128+K130+K132+K134+K135+K136+K137+K140+K141+K142+K143</f>
        <v>2985.5393200000003</v>
      </c>
      <c r="J123" s="79" t="s">
        <v>116</v>
      </c>
      <c r="K123" s="14">
        <f>380122.67/1000</f>
        <v>380.12266999999997</v>
      </c>
    </row>
    <row r="124" spans="1:11" s="32" customFormat="1" ht="45" x14ac:dyDescent="0.25">
      <c r="A124" s="27"/>
      <c r="B124" s="166"/>
      <c r="C124" s="149"/>
      <c r="D124" s="149"/>
      <c r="E124" s="152"/>
      <c r="F124" s="152"/>
      <c r="G124" s="12" t="s">
        <v>117</v>
      </c>
      <c r="H124" s="12">
        <f>65874.55/1000</f>
        <v>65.874549999999999</v>
      </c>
      <c r="I124" s="152"/>
      <c r="J124" s="79" t="s">
        <v>118</v>
      </c>
      <c r="K124" s="14">
        <f>65874.55/1000</f>
        <v>65.874549999999999</v>
      </c>
    </row>
    <row r="125" spans="1:11" s="32" customFormat="1" ht="45" x14ac:dyDescent="0.25">
      <c r="A125" s="27"/>
      <c r="B125" s="166"/>
      <c r="C125" s="149"/>
      <c r="D125" s="149"/>
      <c r="E125" s="152"/>
      <c r="F125" s="152"/>
      <c r="G125" s="12" t="s">
        <v>119</v>
      </c>
      <c r="H125" s="12">
        <f>380122.67/1000</f>
        <v>380.12266999999997</v>
      </c>
      <c r="I125" s="152"/>
      <c r="J125" s="10" t="s">
        <v>120</v>
      </c>
      <c r="K125" s="15">
        <f>2539542.1/1000</f>
        <v>2539.5421000000001</v>
      </c>
    </row>
    <row r="126" spans="1:11" s="32" customFormat="1" ht="30" x14ac:dyDescent="0.25">
      <c r="A126" s="27"/>
      <c r="B126" s="166"/>
      <c r="C126" s="149"/>
      <c r="D126" s="149"/>
      <c r="E126" s="152"/>
      <c r="F126" s="152"/>
      <c r="G126" s="12" t="s">
        <v>121</v>
      </c>
      <c r="H126" s="12">
        <f>2539542.1/1000</f>
        <v>2539.5421000000001</v>
      </c>
      <c r="I126" s="152"/>
      <c r="J126" s="160" t="s">
        <v>25</v>
      </c>
      <c r="K126" s="183">
        <v>0</v>
      </c>
    </row>
    <row r="127" spans="1:11" s="32" customFormat="1" hidden="1" x14ac:dyDescent="0.25">
      <c r="A127" s="27"/>
      <c r="B127" s="166"/>
      <c r="C127" s="149"/>
      <c r="D127" s="149"/>
      <c r="E127" s="152"/>
      <c r="F127" s="152"/>
      <c r="G127" s="12"/>
      <c r="H127" s="12"/>
      <c r="I127" s="152"/>
      <c r="J127" s="160"/>
      <c r="K127" s="183"/>
    </row>
    <row r="128" spans="1:11" s="32" customFormat="1" hidden="1" x14ac:dyDescent="0.25">
      <c r="A128" s="27"/>
      <c r="B128" s="166"/>
      <c r="C128" s="149"/>
      <c r="D128" s="149"/>
      <c r="E128" s="152"/>
      <c r="F128" s="152"/>
      <c r="G128" s="12"/>
      <c r="H128" s="12"/>
      <c r="I128" s="152"/>
      <c r="J128" s="160"/>
      <c r="K128" s="183"/>
    </row>
    <row r="129" spans="1:11" s="32" customFormat="1" hidden="1" x14ac:dyDescent="0.25">
      <c r="A129" s="27"/>
      <c r="B129" s="166"/>
      <c r="C129" s="149"/>
      <c r="D129" s="149"/>
      <c r="E129" s="152"/>
      <c r="F129" s="152"/>
      <c r="G129" s="10"/>
      <c r="H129" s="10"/>
      <c r="I129" s="152"/>
      <c r="J129" s="160"/>
      <c r="K129" s="183"/>
    </row>
    <row r="130" spans="1:11" s="32" customFormat="1" hidden="1" x14ac:dyDescent="0.25">
      <c r="A130" s="27"/>
      <c r="B130" s="166"/>
      <c r="C130" s="149"/>
      <c r="D130" s="149"/>
      <c r="E130" s="152"/>
      <c r="F130" s="152"/>
      <c r="G130" s="10"/>
      <c r="H130" s="10"/>
      <c r="I130" s="152"/>
      <c r="J130" s="160"/>
      <c r="K130" s="183"/>
    </row>
    <row r="131" spans="1:11" s="32" customFormat="1" hidden="1" x14ac:dyDescent="0.25">
      <c r="A131" s="27"/>
      <c r="B131" s="166"/>
      <c r="C131" s="149"/>
      <c r="D131" s="149"/>
      <c r="E131" s="152"/>
      <c r="F131" s="152"/>
      <c r="G131" s="10"/>
      <c r="H131" s="10"/>
      <c r="I131" s="152"/>
      <c r="J131" s="160"/>
      <c r="K131" s="183"/>
    </row>
    <row r="132" spans="1:11" s="32" customFormat="1" hidden="1" x14ac:dyDescent="0.25">
      <c r="A132" s="27"/>
      <c r="B132" s="166"/>
      <c r="C132" s="149"/>
      <c r="D132" s="149"/>
      <c r="E132" s="152"/>
      <c r="F132" s="152"/>
      <c r="G132" s="10"/>
      <c r="H132" s="10"/>
      <c r="I132" s="152"/>
      <c r="J132" s="160"/>
      <c r="K132" s="183"/>
    </row>
    <row r="133" spans="1:11" s="32" customFormat="1" hidden="1" x14ac:dyDescent="0.25">
      <c r="A133" s="27"/>
      <c r="B133" s="166"/>
      <c r="C133" s="149"/>
      <c r="D133" s="149"/>
      <c r="E133" s="152"/>
      <c r="F133" s="152"/>
      <c r="G133" s="10"/>
      <c r="H133" s="10"/>
      <c r="I133" s="152"/>
      <c r="J133" s="160"/>
      <c r="K133" s="183"/>
    </row>
    <row r="134" spans="1:11" s="32" customFormat="1" hidden="1" x14ac:dyDescent="0.25">
      <c r="A134" s="27"/>
      <c r="B134" s="166"/>
      <c r="C134" s="149"/>
      <c r="D134" s="149"/>
      <c r="E134" s="152"/>
      <c r="F134" s="152"/>
      <c r="G134" s="80"/>
      <c r="H134" s="80"/>
      <c r="I134" s="152"/>
      <c r="J134" s="80"/>
      <c r="K134" s="81"/>
    </row>
    <row r="135" spans="1:11" s="32" customFormat="1" hidden="1" x14ac:dyDescent="0.25">
      <c r="A135" s="27"/>
      <c r="B135" s="166"/>
      <c r="C135" s="149"/>
      <c r="D135" s="149"/>
      <c r="E135" s="152"/>
      <c r="F135" s="152"/>
      <c r="G135" s="10"/>
      <c r="H135" s="10"/>
      <c r="I135" s="152"/>
      <c r="J135" s="10"/>
      <c r="K135" s="15"/>
    </row>
    <row r="136" spans="1:11" s="32" customFormat="1" hidden="1" x14ac:dyDescent="0.25">
      <c r="A136" s="27"/>
      <c r="B136" s="166"/>
      <c r="C136" s="149"/>
      <c r="D136" s="149"/>
      <c r="E136" s="152"/>
      <c r="F136" s="152"/>
      <c r="G136" s="10"/>
      <c r="H136" s="10"/>
      <c r="I136" s="152"/>
      <c r="J136" s="10"/>
      <c r="K136" s="15"/>
    </row>
    <row r="137" spans="1:11" s="32" customFormat="1" hidden="1" x14ac:dyDescent="0.25">
      <c r="A137" s="27"/>
      <c r="B137" s="166"/>
      <c r="C137" s="149"/>
      <c r="D137" s="149"/>
      <c r="E137" s="152"/>
      <c r="F137" s="152"/>
      <c r="G137" s="10"/>
      <c r="H137" s="10"/>
      <c r="I137" s="152"/>
      <c r="J137" s="80"/>
      <c r="K137" s="81"/>
    </row>
    <row r="138" spans="1:11" s="32" customFormat="1" hidden="1" x14ac:dyDescent="0.25">
      <c r="A138" s="27"/>
      <c r="B138" s="166"/>
      <c r="C138" s="149"/>
      <c r="D138" s="149"/>
      <c r="E138" s="152"/>
      <c r="F138" s="152"/>
      <c r="G138" s="10"/>
      <c r="H138" s="10"/>
      <c r="I138" s="152"/>
      <c r="J138" s="80"/>
      <c r="K138" s="81"/>
    </row>
    <row r="139" spans="1:11" s="32" customFormat="1" hidden="1" x14ac:dyDescent="0.25">
      <c r="A139" s="27"/>
      <c r="B139" s="166"/>
      <c r="C139" s="149"/>
      <c r="D139" s="149"/>
      <c r="E139" s="152"/>
      <c r="F139" s="152"/>
      <c r="G139" s="10"/>
      <c r="H139" s="10"/>
      <c r="I139" s="152"/>
      <c r="J139" s="80"/>
      <c r="K139" s="81"/>
    </row>
    <row r="140" spans="1:11" s="32" customFormat="1" hidden="1" x14ac:dyDescent="0.25">
      <c r="A140" s="27"/>
      <c r="B140" s="166"/>
      <c r="C140" s="149"/>
      <c r="D140" s="149"/>
      <c r="E140" s="152"/>
      <c r="F140" s="152"/>
      <c r="G140" s="10"/>
      <c r="H140" s="10"/>
      <c r="I140" s="152"/>
      <c r="J140" s="10"/>
      <c r="K140" s="15"/>
    </row>
    <row r="141" spans="1:11" s="32" customFormat="1" hidden="1" x14ac:dyDescent="0.25">
      <c r="A141" s="27"/>
      <c r="B141" s="166"/>
      <c r="C141" s="149"/>
      <c r="D141" s="149"/>
      <c r="E141" s="152"/>
      <c r="F141" s="152"/>
      <c r="G141" s="10"/>
      <c r="H141" s="10"/>
      <c r="I141" s="152"/>
      <c r="J141" s="10"/>
      <c r="K141" s="15"/>
    </row>
    <row r="142" spans="1:11" s="32" customFormat="1" hidden="1" x14ac:dyDescent="0.25">
      <c r="A142" s="27"/>
      <c r="B142" s="166"/>
      <c r="C142" s="149"/>
      <c r="D142" s="149"/>
      <c r="E142" s="152"/>
      <c r="F142" s="152"/>
      <c r="G142" s="12"/>
      <c r="H142" s="12"/>
      <c r="I142" s="152"/>
      <c r="J142" s="10"/>
      <c r="K142" s="15"/>
    </row>
    <row r="143" spans="1:11" s="32" customFormat="1" hidden="1" x14ac:dyDescent="0.25">
      <c r="A143" s="27"/>
      <c r="B143" s="166"/>
      <c r="C143" s="149"/>
      <c r="D143" s="149"/>
      <c r="E143" s="152"/>
      <c r="F143" s="152"/>
      <c r="G143" s="12"/>
      <c r="H143" s="12"/>
      <c r="I143" s="152"/>
      <c r="J143" s="12"/>
      <c r="K143" s="15"/>
    </row>
    <row r="144" spans="1:11" s="32" customFormat="1" ht="45" x14ac:dyDescent="0.25">
      <c r="A144" s="27"/>
      <c r="B144" s="166"/>
      <c r="C144" s="161" t="s">
        <v>113</v>
      </c>
      <c r="D144" s="161" t="s">
        <v>122</v>
      </c>
      <c r="E144" s="159">
        <f>7700000/1000</f>
        <v>7700</v>
      </c>
      <c r="F144" s="159">
        <f>H144+H145+H146+H147+H148+H149+H150+H151</f>
        <v>730.42455999999993</v>
      </c>
      <c r="G144" s="12" t="s">
        <v>123</v>
      </c>
      <c r="H144" s="12">
        <f>118430.04/1000</f>
        <v>118.43003999999999</v>
      </c>
      <c r="I144" s="159">
        <f>K144+K145+K146+K147+K148+K149+K150</f>
        <v>611.9945242</v>
      </c>
      <c r="J144" s="20" t="s">
        <v>124</v>
      </c>
      <c r="K144" s="82">
        <f>36236.42/1000</f>
        <v>36.236419999999995</v>
      </c>
    </row>
    <row r="145" spans="1:11" s="32" customFormat="1" ht="45" x14ac:dyDescent="0.25">
      <c r="A145" s="27"/>
      <c r="B145" s="166"/>
      <c r="C145" s="149"/>
      <c r="D145" s="149"/>
      <c r="E145" s="152"/>
      <c r="F145" s="152"/>
      <c r="G145" s="12" t="s">
        <v>125</v>
      </c>
      <c r="H145" s="12">
        <f>309554.34/1000</f>
        <v>309.55434000000002</v>
      </c>
      <c r="I145" s="152"/>
      <c r="J145" s="20" t="s">
        <v>126</v>
      </c>
      <c r="K145" s="15">
        <f>309554.3442/1000</f>
        <v>309.5543442</v>
      </c>
    </row>
    <row r="146" spans="1:11" s="32" customFormat="1" ht="45" x14ac:dyDescent="0.25">
      <c r="A146" s="27"/>
      <c r="B146" s="166"/>
      <c r="C146" s="149"/>
      <c r="D146" s="149"/>
      <c r="E146" s="152"/>
      <c r="F146" s="152"/>
      <c r="G146" s="12" t="s">
        <v>127</v>
      </c>
      <c r="H146" s="12">
        <f>36236.42/1000</f>
        <v>36.236419999999995</v>
      </c>
      <c r="I146" s="152"/>
      <c r="J146" s="83" t="s">
        <v>128</v>
      </c>
      <c r="K146" s="15">
        <f>50407.91/1000</f>
        <v>50.407910000000001</v>
      </c>
    </row>
    <row r="147" spans="1:11" s="32" customFormat="1" ht="47.25" customHeight="1" x14ac:dyDescent="0.25">
      <c r="A147" s="27"/>
      <c r="B147" s="166"/>
      <c r="C147" s="149"/>
      <c r="D147" s="149"/>
      <c r="E147" s="152"/>
      <c r="F147" s="152"/>
      <c r="G147" s="12" t="s">
        <v>129</v>
      </c>
      <c r="H147" s="12">
        <f>8122.97/1000</f>
        <v>8.1229700000000005</v>
      </c>
      <c r="I147" s="152"/>
      <c r="J147" s="83" t="s">
        <v>130</v>
      </c>
      <c r="K147" s="15">
        <f>3818.95/1000</f>
        <v>3.8189499999999996</v>
      </c>
    </row>
    <row r="148" spans="1:11" s="32" customFormat="1" ht="30" customHeight="1" x14ac:dyDescent="0.25">
      <c r="A148" s="27"/>
      <c r="B148" s="166"/>
      <c r="C148" s="149"/>
      <c r="D148" s="149"/>
      <c r="E148" s="152"/>
      <c r="F148" s="152"/>
      <c r="G148" s="12" t="s">
        <v>131</v>
      </c>
      <c r="H148" s="12">
        <f>50407.91/1000</f>
        <v>50.407910000000001</v>
      </c>
      <c r="I148" s="152"/>
      <c r="J148" s="83" t="s">
        <v>132</v>
      </c>
      <c r="K148" s="15">
        <f>8122.97/1000</f>
        <v>8.1229700000000005</v>
      </c>
    </row>
    <row r="149" spans="1:11" s="32" customFormat="1" ht="46.5" customHeight="1" x14ac:dyDescent="0.25">
      <c r="A149" s="27"/>
      <c r="B149" s="166"/>
      <c r="C149" s="149"/>
      <c r="D149" s="149"/>
      <c r="E149" s="152"/>
      <c r="F149" s="152"/>
      <c r="G149" s="12" t="s">
        <v>133</v>
      </c>
      <c r="H149" s="12">
        <f>3818.95/1000</f>
        <v>3.8189499999999996</v>
      </c>
      <c r="I149" s="152"/>
      <c r="J149" s="83" t="s">
        <v>134</v>
      </c>
      <c r="K149" s="15">
        <f>154811.91/1000</f>
        <v>154.81191000000001</v>
      </c>
    </row>
    <row r="150" spans="1:11" s="32" customFormat="1" ht="43.5" customHeight="1" x14ac:dyDescent="0.25">
      <c r="A150" s="27"/>
      <c r="B150" s="166"/>
      <c r="C150" s="149"/>
      <c r="D150" s="149"/>
      <c r="E150" s="152"/>
      <c r="F150" s="152"/>
      <c r="G150" s="12" t="s">
        <v>135</v>
      </c>
      <c r="H150" s="12">
        <f>49042.02/1000</f>
        <v>49.042019999999994</v>
      </c>
      <c r="I150" s="152"/>
      <c r="J150" s="83" t="s">
        <v>136</v>
      </c>
      <c r="K150" s="15">
        <f>49042.02/1000</f>
        <v>49.042019999999994</v>
      </c>
    </row>
    <row r="151" spans="1:11" s="32" customFormat="1" ht="28.5" customHeight="1" x14ac:dyDescent="0.25">
      <c r="A151" s="27"/>
      <c r="B151" s="166"/>
      <c r="C151" s="149"/>
      <c r="D151" s="149"/>
      <c r="E151" s="152"/>
      <c r="F151" s="152"/>
      <c r="G151" s="12" t="s">
        <v>137</v>
      </c>
      <c r="H151" s="12">
        <f>154811.91/1000</f>
        <v>154.81191000000001</v>
      </c>
      <c r="I151" s="152"/>
      <c r="J151" s="83" t="s">
        <v>25</v>
      </c>
      <c r="K151" s="15">
        <v>0</v>
      </c>
    </row>
    <row r="152" spans="1:11" s="32" customFormat="1" ht="28.5" hidden="1" customHeight="1" x14ac:dyDescent="0.25">
      <c r="A152" s="27"/>
      <c r="B152" s="166"/>
      <c r="C152" s="149"/>
      <c r="D152" s="149"/>
      <c r="E152" s="152"/>
      <c r="F152" s="152"/>
      <c r="G152" s="12"/>
      <c r="H152" s="12"/>
      <c r="I152" s="152"/>
      <c r="J152" s="83"/>
      <c r="K152" s="15"/>
    </row>
    <row r="153" spans="1:11" s="32" customFormat="1" ht="30" x14ac:dyDescent="0.25">
      <c r="A153" s="27"/>
      <c r="B153" s="166"/>
      <c r="C153" s="161" t="s">
        <v>138</v>
      </c>
      <c r="D153" s="161" t="s">
        <v>139</v>
      </c>
      <c r="E153" s="159">
        <f>30668.87*16/1000</f>
        <v>490.70191999999997</v>
      </c>
      <c r="F153" s="159">
        <f>H153+H154+H155+H156+H157+H158+H159</f>
        <v>276.01982999999996</v>
      </c>
      <c r="G153" s="10" t="s">
        <v>140</v>
      </c>
      <c r="H153" s="10">
        <f>61337.74/1000</f>
        <v>61.337739999999997</v>
      </c>
      <c r="I153" s="159">
        <f>K153+K154+K155+K156+K157+K158+K159</f>
        <v>245.35096779999998</v>
      </c>
      <c r="J153" s="20" t="s">
        <v>141</v>
      </c>
      <c r="K153" s="18">
        <f>30668.8726/1000</f>
        <v>30.6688726</v>
      </c>
    </row>
    <row r="154" spans="1:11" s="32" customFormat="1" ht="30" x14ac:dyDescent="0.25">
      <c r="A154" s="27"/>
      <c r="B154" s="166"/>
      <c r="C154" s="149"/>
      <c r="D154" s="149"/>
      <c r="E154" s="152"/>
      <c r="F154" s="152"/>
      <c r="G154" s="12" t="s">
        <v>142</v>
      </c>
      <c r="H154" s="12">
        <f>30668.87/1000</f>
        <v>30.668869999999998</v>
      </c>
      <c r="I154" s="152"/>
      <c r="J154" s="83" t="s">
        <v>143</v>
      </c>
      <c r="K154" s="18">
        <f>30668.87/1000</f>
        <v>30.668869999999998</v>
      </c>
    </row>
    <row r="155" spans="1:11" s="32" customFormat="1" ht="30" x14ac:dyDescent="0.25">
      <c r="A155" s="27"/>
      <c r="B155" s="166"/>
      <c r="C155" s="149"/>
      <c r="D155" s="149"/>
      <c r="E155" s="152"/>
      <c r="F155" s="152"/>
      <c r="G155" s="12" t="s">
        <v>144</v>
      </c>
      <c r="H155" s="12">
        <f>30668.87/1000</f>
        <v>30.668869999999998</v>
      </c>
      <c r="I155" s="152"/>
      <c r="J155" s="83" t="s">
        <v>145</v>
      </c>
      <c r="K155" s="18">
        <f>61337.74/1000</f>
        <v>61.337739999999997</v>
      </c>
    </row>
    <row r="156" spans="1:11" s="32" customFormat="1" ht="31.5" customHeight="1" x14ac:dyDescent="0.25">
      <c r="A156" s="27"/>
      <c r="B156" s="166"/>
      <c r="C156" s="149"/>
      <c r="D156" s="149"/>
      <c r="E156" s="152"/>
      <c r="F156" s="152"/>
      <c r="G156" s="12" t="s">
        <v>146</v>
      </c>
      <c r="H156" s="12">
        <f>30668.87/1000</f>
        <v>30.668869999999998</v>
      </c>
      <c r="I156" s="152"/>
      <c r="J156" s="83" t="s">
        <v>147</v>
      </c>
      <c r="K156" s="18">
        <f>30668.87/1000</f>
        <v>30.668869999999998</v>
      </c>
    </row>
    <row r="157" spans="1:11" s="32" customFormat="1" ht="31.5" customHeight="1" x14ac:dyDescent="0.25">
      <c r="A157" s="27"/>
      <c r="B157" s="166"/>
      <c r="C157" s="149"/>
      <c r="D157" s="149"/>
      <c r="E157" s="152"/>
      <c r="F157" s="152"/>
      <c r="G157" s="12" t="s">
        <v>148</v>
      </c>
      <c r="H157" s="12">
        <f>61337.74/1000</f>
        <v>61.337739999999997</v>
      </c>
      <c r="I157" s="152"/>
      <c r="J157" s="83" t="s">
        <v>149</v>
      </c>
      <c r="K157" s="18">
        <f>30668.87/1000</f>
        <v>30.668869999999998</v>
      </c>
    </row>
    <row r="158" spans="1:11" s="32" customFormat="1" ht="31.5" customHeight="1" x14ac:dyDescent="0.25">
      <c r="A158" s="27"/>
      <c r="B158" s="166"/>
      <c r="C158" s="149"/>
      <c r="D158" s="149"/>
      <c r="E158" s="152"/>
      <c r="F158" s="152"/>
      <c r="G158" s="12" t="s">
        <v>150</v>
      </c>
      <c r="H158" s="12">
        <f>30668.87/1000</f>
        <v>30.668869999999998</v>
      </c>
      <c r="I158" s="152"/>
      <c r="J158" s="83" t="s">
        <v>151</v>
      </c>
      <c r="K158" s="18">
        <f>30668.8726/1000</f>
        <v>30.6688726</v>
      </c>
    </row>
    <row r="159" spans="1:11" s="32" customFormat="1" ht="31.5" customHeight="1" x14ac:dyDescent="0.25">
      <c r="A159" s="27"/>
      <c r="B159" s="166"/>
      <c r="C159" s="149"/>
      <c r="D159" s="149"/>
      <c r="E159" s="152"/>
      <c r="F159" s="152"/>
      <c r="G159" s="12" t="s">
        <v>152</v>
      </c>
      <c r="H159" s="12">
        <f>30668.87/1000</f>
        <v>30.668869999999998</v>
      </c>
      <c r="I159" s="152"/>
      <c r="J159" s="83" t="s">
        <v>153</v>
      </c>
      <c r="K159" s="18">
        <v>30.6688726</v>
      </c>
    </row>
    <row r="160" spans="1:11" s="32" customFormat="1" ht="30" x14ac:dyDescent="0.25">
      <c r="A160" s="27"/>
      <c r="B160" s="166"/>
      <c r="C160" s="161" t="s">
        <v>138</v>
      </c>
      <c r="D160" s="161" t="s">
        <v>154</v>
      </c>
      <c r="E160" s="159">
        <f>3303227.63/1000</f>
        <v>3303.2276299999999</v>
      </c>
      <c r="F160" s="159">
        <f>H160+H161</f>
        <v>3303.2276300000003</v>
      </c>
      <c r="G160" s="12" t="s">
        <v>155</v>
      </c>
      <c r="H160" s="12">
        <f>2972904.87/1000</f>
        <v>2972.9048700000003</v>
      </c>
      <c r="I160" s="159">
        <f>K160</f>
        <v>0</v>
      </c>
      <c r="J160" s="12" t="s">
        <v>25</v>
      </c>
      <c r="K160" s="18">
        <v>0</v>
      </c>
    </row>
    <row r="161" spans="1:11" s="32" customFormat="1" ht="32.25" customHeight="1" x14ac:dyDescent="0.25">
      <c r="A161" s="27"/>
      <c r="B161" s="166"/>
      <c r="C161" s="150"/>
      <c r="D161" s="150"/>
      <c r="E161" s="153"/>
      <c r="F161" s="153"/>
      <c r="G161" s="12" t="s">
        <v>156</v>
      </c>
      <c r="H161" s="12">
        <f>330322.76/1000</f>
        <v>330.32276000000002</v>
      </c>
      <c r="I161" s="153"/>
      <c r="J161" s="12" t="s">
        <v>25</v>
      </c>
      <c r="K161" s="18">
        <v>0</v>
      </c>
    </row>
    <row r="162" spans="1:11" s="32" customFormat="1" ht="30" x14ac:dyDescent="0.25">
      <c r="A162" s="27"/>
      <c r="B162" s="166"/>
      <c r="C162" s="161" t="s">
        <v>138</v>
      </c>
      <c r="D162" s="161" t="s">
        <v>157</v>
      </c>
      <c r="E162" s="159">
        <f>143412108/1000</f>
        <v>143412.10800000001</v>
      </c>
      <c r="F162" s="159">
        <f>H162+H163+H164+H165+H166+H167+H168</f>
        <v>51693.459270000007</v>
      </c>
      <c r="G162" s="12" t="s">
        <v>158</v>
      </c>
      <c r="H162" s="12">
        <f>32308412.05/1000</f>
        <v>32308.412049999999</v>
      </c>
      <c r="I162" s="159">
        <f>K162</f>
        <v>0</v>
      </c>
      <c r="J162" s="12" t="s">
        <v>25</v>
      </c>
      <c r="K162" s="18">
        <v>0</v>
      </c>
    </row>
    <row r="163" spans="1:11" s="32" customFormat="1" ht="31.5" customHeight="1" x14ac:dyDescent="0.25">
      <c r="A163" s="27"/>
      <c r="B163" s="166"/>
      <c r="C163" s="149"/>
      <c r="D163" s="149"/>
      <c r="E163" s="152"/>
      <c r="F163" s="152"/>
      <c r="G163" s="12" t="s">
        <v>159</v>
      </c>
      <c r="H163" s="12">
        <f>4144907.68/1000</f>
        <v>4144.9076800000003</v>
      </c>
      <c r="I163" s="152"/>
      <c r="J163" s="12" t="s">
        <v>25</v>
      </c>
      <c r="K163" s="18">
        <v>0</v>
      </c>
    </row>
    <row r="164" spans="1:11" s="32" customFormat="1" ht="31.5" customHeight="1" x14ac:dyDescent="0.25">
      <c r="A164" s="27"/>
      <c r="B164" s="166"/>
      <c r="C164" s="149"/>
      <c r="D164" s="149"/>
      <c r="E164" s="152"/>
      <c r="F164" s="152"/>
      <c r="G164" s="12" t="s">
        <v>160</v>
      </c>
      <c r="H164" s="12">
        <f>444646.55/1000</f>
        <v>444.64654999999999</v>
      </c>
      <c r="I164" s="152"/>
      <c r="J164" s="12" t="s">
        <v>25</v>
      </c>
      <c r="K164" s="18">
        <v>0</v>
      </c>
    </row>
    <row r="165" spans="1:11" s="32" customFormat="1" ht="31.5" customHeight="1" x14ac:dyDescent="0.25">
      <c r="A165" s="27"/>
      <c r="B165" s="166"/>
      <c r="C165" s="149"/>
      <c r="D165" s="149"/>
      <c r="E165" s="152"/>
      <c r="F165" s="152"/>
      <c r="G165" s="12" t="s">
        <v>161</v>
      </c>
      <c r="H165" s="12">
        <f>166742.46/1000</f>
        <v>166.74245999999999</v>
      </c>
      <c r="I165" s="152"/>
      <c r="J165" s="12" t="s">
        <v>25</v>
      </c>
      <c r="K165" s="18">
        <v>0</v>
      </c>
    </row>
    <row r="166" spans="1:11" s="32" customFormat="1" ht="31.5" customHeight="1" x14ac:dyDescent="0.25">
      <c r="A166" s="27"/>
      <c r="B166" s="166"/>
      <c r="C166" s="149"/>
      <c r="D166" s="149"/>
      <c r="E166" s="152"/>
      <c r="F166" s="152"/>
      <c r="G166" s="12" t="s">
        <v>162</v>
      </c>
      <c r="H166" s="12">
        <f>8675990.26/1000</f>
        <v>8675.9902600000005</v>
      </c>
      <c r="I166" s="152"/>
      <c r="J166" s="12" t="s">
        <v>25</v>
      </c>
      <c r="K166" s="18">
        <v>0</v>
      </c>
    </row>
    <row r="167" spans="1:11" s="32" customFormat="1" ht="31.5" customHeight="1" x14ac:dyDescent="0.25">
      <c r="A167" s="27"/>
      <c r="B167" s="166"/>
      <c r="C167" s="149"/>
      <c r="D167" s="149"/>
      <c r="E167" s="152"/>
      <c r="F167" s="152"/>
      <c r="G167" s="12" t="s">
        <v>163</v>
      </c>
      <c r="H167" s="12">
        <f>598633.5/1000</f>
        <v>598.63350000000003</v>
      </c>
      <c r="I167" s="152"/>
      <c r="J167" s="12" t="s">
        <v>25</v>
      </c>
      <c r="K167" s="18">
        <v>0</v>
      </c>
    </row>
    <row r="168" spans="1:11" s="32" customFormat="1" ht="31.5" customHeight="1" x14ac:dyDescent="0.25">
      <c r="A168" s="27"/>
      <c r="B168" s="166"/>
      <c r="C168" s="149"/>
      <c r="D168" s="149"/>
      <c r="E168" s="152"/>
      <c r="F168" s="152"/>
      <c r="G168" s="12" t="s">
        <v>164</v>
      </c>
      <c r="H168" s="12">
        <f>5354126.77/1000</f>
        <v>5354.1267699999999</v>
      </c>
      <c r="I168" s="152"/>
      <c r="J168" s="12" t="s">
        <v>25</v>
      </c>
      <c r="K168" s="18">
        <v>0</v>
      </c>
    </row>
    <row r="169" spans="1:11" s="32" customFormat="1" ht="42.75" customHeight="1" x14ac:dyDescent="0.25">
      <c r="A169" s="27"/>
      <c r="B169" s="166"/>
      <c r="C169" s="9" t="s">
        <v>26</v>
      </c>
      <c r="D169" s="9" t="s">
        <v>27</v>
      </c>
      <c r="E169" s="9" t="s">
        <v>25</v>
      </c>
      <c r="F169" s="10">
        <f>H169</f>
        <v>62.163640000000001</v>
      </c>
      <c r="G169" s="10" t="s">
        <v>165</v>
      </c>
      <c r="H169" s="10">
        <f>62163.64/1000</f>
        <v>62.163640000000001</v>
      </c>
      <c r="I169" s="20">
        <f>K169</f>
        <v>0</v>
      </c>
      <c r="J169" s="12" t="s">
        <v>25</v>
      </c>
      <c r="K169" s="18">
        <v>0</v>
      </c>
    </row>
    <row r="170" spans="1:11" s="32" customFormat="1" ht="30" x14ac:dyDescent="0.25">
      <c r="A170" s="27"/>
      <c r="B170" s="166"/>
      <c r="C170" s="161" t="s">
        <v>166</v>
      </c>
      <c r="D170" s="161" t="s">
        <v>167</v>
      </c>
      <c r="E170" s="159">
        <f>6728005.19/1000</f>
        <v>6728.0051900000008</v>
      </c>
      <c r="F170" s="159">
        <f>H170+H171+H172+H173+H174+H175+H176+H177+H178</f>
        <v>6745.9823299999998</v>
      </c>
      <c r="G170" s="10" t="s">
        <v>168</v>
      </c>
      <c r="H170" s="10">
        <f>436291/1000</f>
        <v>436.291</v>
      </c>
      <c r="I170" s="159">
        <f>K170+K171</f>
        <v>0</v>
      </c>
      <c r="J170" s="12" t="s">
        <v>25</v>
      </c>
      <c r="K170" s="18">
        <v>0</v>
      </c>
    </row>
    <row r="171" spans="1:11" s="32" customFormat="1" ht="30" x14ac:dyDescent="0.25">
      <c r="A171" s="27"/>
      <c r="B171" s="166"/>
      <c r="C171" s="149"/>
      <c r="D171" s="149"/>
      <c r="E171" s="152"/>
      <c r="F171" s="152"/>
      <c r="G171" s="10" t="s">
        <v>169</v>
      </c>
      <c r="H171" s="10">
        <f>618236.72/1000</f>
        <v>618.23671999999999</v>
      </c>
      <c r="I171" s="152"/>
      <c r="J171" s="12" t="s">
        <v>25</v>
      </c>
      <c r="K171" s="18">
        <v>0</v>
      </c>
    </row>
    <row r="172" spans="1:11" s="32" customFormat="1" ht="30" x14ac:dyDescent="0.25">
      <c r="A172" s="27"/>
      <c r="B172" s="166"/>
      <c r="C172" s="149"/>
      <c r="D172" s="149"/>
      <c r="E172" s="152"/>
      <c r="F172" s="152"/>
      <c r="G172" s="10" t="s">
        <v>170</v>
      </c>
      <c r="H172" s="10">
        <f>102887.28/1000</f>
        <v>102.88728</v>
      </c>
      <c r="I172" s="152"/>
      <c r="J172" s="12" t="s">
        <v>25</v>
      </c>
      <c r="K172" s="18">
        <v>0</v>
      </c>
    </row>
    <row r="173" spans="1:11" s="32" customFormat="1" ht="30" x14ac:dyDescent="0.25">
      <c r="A173" s="27"/>
      <c r="B173" s="166"/>
      <c r="C173" s="149"/>
      <c r="D173" s="149"/>
      <c r="E173" s="152"/>
      <c r="F173" s="152"/>
      <c r="G173" s="10" t="s">
        <v>171</v>
      </c>
      <c r="H173" s="10">
        <f>1269676.5/1000</f>
        <v>1269.6765</v>
      </c>
      <c r="I173" s="152"/>
      <c r="J173" s="12" t="s">
        <v>25</v>
      </c>
      <c r="K173" s="18">
        <v>0</v>
      </c>
    </row>
    <row r="174" spans="1:11" s="32" customFormat="1" ht="30" x14ac:dyDescent="0.25">
      <c r="A174" s="27"/>
      <c r="B174" s="166"/>
      <c r="C174" s="149"/>
      <c r="D174" s="149"/>
      <c r="E174" s="152"/>
      <c r="F174" s="152"/>
      <c r="G174" s="10" t="s">
        <v>172</v>
      </c>
      <c r="H174" s="10">
        <f>656606.92/1000</f>
        <v>656.60692000000006</v>
      </c>
      <c r="I174" s="152"/>
      <c r="J174" s="12" t="s">
        <v>25</v>
      </c>
      <c r="K174" s="18">
        <v>0</v>
      </c>
    </row>
    <row r="175" spans="1:11" s="32" customFormat="1" ht="30" x14ac:dyDescent="0.25">
      <c r="A175" s="27"/>
      <c r="B175" s="166"/>
      <c r="C175" s="149"/>
      <c r="D175" s="149"/>
      <c r="E175" s="152"/>
      <c r="F175" s="152"/>
      <c r="G175" s="10" t="s">
        <v>173</v>
      </c>
      <c r="H175" s="10">
        <f>909231.36/1000</f>
        <v>909.23136</v>
      </c>
      <c r="I175" s="152"/>
      <c r="J175" s="12" t="s">
        <v>25</v>
      </c>
      <c r="K175" s="18">
        <v>0</v>
      </c>
    </row>
    <row r="176" spans="1:11" s="32" customFormat="1" ht="33.75" customHeight="1" x14ac:dyDescent="0.25">
      <c r="A176" s="27"/>
      <c r="B176" s="166"/>
      <c r="C176" s="149"/>
      <c r="D176" s="149"/>
      <c r="E176" s="152"/>
      <c r="F176" s="152"/>
      <c r="G176" s="10" t="s">
        <v>174</v>
      </c>
      <c r="H176" s="10">
        <f>1082694.64/1000</f>
        <v>1082.6946399999999</v>
      </c>
      <c r="I176" s="152"/>
      <c r="J176" s="12" t="s">
        <v>25</v>
      </c>
      <c r="K176" s="18">
        <v>0</v>
      </c>
    </row>
    <row r="177" spans="1:11" s="32" customFormat="1" ht="33.75" customHeight="1" x14ac:dyDescent="0.25">
      <c r="A177" s="27"/>
      <c r="B177" s="166"/>
      <c r="C177" s="149"/>
      <c r="D177" s="149"/>
      <c r="E177" s="152"/>
      <c r="F177" s="152"/>
      <c r="G177" s="10" t="s">
        <v>175</v>
      </c>
      <c r="H177" s="10">
        <f>886276.54/1000</f>
        <v>886.27654000000007</v>
      </c>
      <c r="I177" s="152"/>
      <c r="J177" s="12" t="s">
        <v>25</v>
      </c>
      <c r="K177" s="18">
        <v>0</v>
      </c>
    </row>
    <row r="178" spans="1:11" s="32" customFormat="1" ht="33.75" customHeight="1" x14ac:dyDescent="0.25">
      <c r="A178" s="27"/>
      <c r="B178" s="166"/>
      <c r="C178" s="149"/>
      <c r="D178" s="149"/>
      <c r="E178" s="152"/>
      <c r="F178" s="152"/>
      <c r="G178" s="10" t="s">
        <v>176</v>
      </c>
      <c r="H178" s="10">
        <f>784081.37/1000</f>
        <v>784.08136999999999</v>
      </c>
      <c r="I178" s="153"/>
      <c r="J178" s="12" t="s">
        <v>25</v>
      </c>
      <c r="K178" s="18">
        <v>0</v>
      </c>
    </row>
    <row r="179" spans="1:11" s="32" customFormat="1" ht="30" customHeight="1" x14ac:dyDescent="0.25">
      <c r="A179" s="27"/>
      <c r="B179" s="166"/>
      <c r="C179" s="161" t="s">
        <v>26</v>
      </c>
      <c r="D179" s="161" t="s">
        <v>27</v>
      </c>
      <c r="E179" s="161" t="s">
        <v>25</v>
      </c>
      <c r="F179" s="159">
        <f>H179+H180+H181+H182+H183</f>
        <v>686.43378599999994</v>
      </c>
      <c r="G179" s="10" t="s">
        <v>25</v>
      </c>
      <c r="H179" s="10">
        <f>14528.49/1000</f>
        <v>14.52849</v>
      </c>
      <c r="I179" s="159">
        <f>K179</f>
        <v>0</v>
      </c>
      <c r="J179" s="12" t="s">
        <v>25</v>
      </c>
      <c r="K179" s="18">
        <v>0</v>
      </c>
    </row>
    <row r="180" spans="1:11" s="32" customFormat="1" ht="49.5" customHeight="1" x14ac:dyDescent="0.25">
      <c r="A180" s="27"/>
      <c r="B180" s="166"/>
      <c r="C180" s="149"/>
      <c r="D180" s="149"/>
      <c r="E180" s="149"/>
      <c r="F180" s="152"/>
      <c r="G180" s="10" t="s">
        <v>177</v>
      </c>
      <c r="H180" s="10">
        <f>20587.29/1000</f>
        <v>20.587289999999999</v>
      </c>
      <c r="I180" s="152"/>
      <c r="J180" s="12" t="s">
        <v>25</v>
      </c>
      <c r="K180" s="18">
        <v>0</v>
      </c>
    </row>
    <row r="181" spans="1:11" s="32" customFormat="1" ht="70.5" customHeight="1" x14ac:dyDescent="0.25">
      <c r="A181" s="27"/>
      <c r="B181" s="166"/>
      <c r="C181" s="149"/>
      <c r="D181" s="149"/>
      <c r="E181" s="149"/>
      <c r="F181" s="152"/>
      <c r="G181" s="10" t="s">
        <v>178</v>
      </c>
      <c r="H181" s="10">
        <f>97848.786/1000</f>
        <v>97.84878599999999</v>
      </c>
      <c r="I181" s="152"/>
      <c r="J181" s="12" t="s">
        <v>25</v>
      </c>
      <c r="K181" s="18">
        <v>0</v>
      </c>
    </row>
    <row r="182" spans="1:11" s="32" customFormat="1" ht="65.25" customHeight="1" x14ac:dyDescent="0.25">
      <c r="A182" s="27"/>
      <c r="B182" s="166"/>
      <c r="C182" s="149"/>
      <c r="D182" s="149"/>
      <c r="E182" s="149"/>
      <c r="F182" s="152"/>
      <c r="G182" s="9" t="s">
        <v>62</v>
      </c>
      <c r="H182" s="10">
        <f>29513/1000</f>
        <v>29.513000000000002</v>
      </c>
      <c r="I182" s="152"/>
      <c r="J182" s="12" t="s">
        <v>25</v>
      </c>
      <c r="K182" s="18">
        <v>0</v>
      </c>
    </row>
    <row r="183" spans="1:11" s="32" customFormat="1" ht="65.25" customHeight="1" x14ac:dyDescent="0.25">
      <c r="A183" s="27"/>
      <c r="B183" s="166"/>
      <c r="C183" s="149"/>
      <c r="D183" s="149"/>
      <c r="E183" s="149"/>
      <c r="F183" s="152"/>
      <c r="G183" s="9" t="s">
        <v>179</v>
      </c>
      <c r="H183" s="10">
        <f>523956.22/1000</f>
        <v>523.95621999999992</v>
      </c>
      <c r="I183" s="153"/>
      <c r="J183" s="12" t="s">
        <v>25</v>
      </c>
      <c r="K183" s="18">
        <v>0</v>
      </c>
    </row>
    <row r="184" spans="1:11" s="32" customFormat="1" ht="28.5" customHeight="1" x14ac:dyDescent="0.25">
      <c r="A184" s="27"/>
      <c r="B184" s="166"/>
      <c r="C184" s="161" t="s">
        <v>180</v>
      </c>
      <c r="D184" s="161" t="s">
        <v>181</v>
      </c>
      <c r="E184" s="159">
        <f>500000/1000</f>
        <v>500</v>
      </c>
      <c r="F184" s="159">
        <f>H184+H185</f>
        <v>500</v>
      </c>
      <c r="G184" s="10" t="s">
        <v>182</v>
      </c>
      <c r="H184" s="10">
        <f>250000/1000</f>
        <v>250</v>
      </c>
      <c r="I184" s="159">
        <f>K184+K185</f>
        <v>500</v>
      </c>
      <c r="J184" s="159" t="s">
        <v>183</v>
      </c>
      <c r="K184" s="184">
        <f>500000/1000</f>
        <v>500</v>
      </c>
    </row>
    <row r="185" spans="1:11" s="32" customFormat="1" ht="28.5" customHeight="1" x14ac:dyDescent="0.25">
      <c r="A185" s="27"/>
      <c r="B185" s="166"/>
      <c r="C185" s="150"/>
      <c r="D185" s="150"/>
      <c r="E185" s="153"/>
      <c r="F185" s="153"/>
      <c r="G185" s="10" t="s">
        <v>184</v>
      </c>
      <c r="H185" s="10">
        <f>250000/1000</f>
        <v>250</v>
      </c>
      <c r="I185" s="153"/>
      <c r="J185" s="153"/>
      <c r="K185" s="155"/>
    </row>
    <row r="186" spans="1:11" s="32" customFormat="1" ht="32.25" customHeight="1" x14ac:dyDescent="0.25">
      <c r="A186" s="27"/>
      <c r="B186" s="166"/>
      <c r="C186" s="11" t="s">
        <v>185</v>
      </c>
      <c r="D186" s="11" t="s">
        <v>186</v>
      </c>
      <c r="E186" s="12">
        <f>7889385.36/1000</f>
        <v>7889.3853600000002</v>
      </c>
      <c r="F186" s="12">
        <f>H186</f>
        <v>6995.7507599999999</v>
      </c>
      <c r="G186" s="10" t="s">
        <v>187</v>
      </c>
      <c r="H186" s="10">
        <f>6995750.76/1000</f>
        <v>6995.7507599999999</v>
      </c>
      <c r="I186" s="12">
        <f>K186</f>
        <v>0</v>
      </c>
      <c r="J186" s="12" t="s">
        <v>25</v>
      </c>
      <c r="K186" s="18">
        <v>0</v>
      </c>
    </row>
    <row r="187" spans="1:11" s="32" customFormat="1" ht="69.75" customHeight="1" x14ac:dyDescent="0.25">
      <c r="A187" s="27"/>
      <c r="B187" s="166"/>
      <c r="C187" s="11" t="s">
        <v>188</v>
      </c>
      <c r="D187" s="11" t="s">
        <v>189</v>
      </c>
      <c r="E187" s="12">
        <f>766573.95/1000</f>
        <v>766.57394999999997</v>
      </c>
      <c r="F187" s="12">
        <f>H187</f>
        <v>766.57394999999997</v>
      </c>
      <c r="G187" s="10" t="s">
        <v>190</v>
      </c>
      <c r="H187" s="10">
        <f>766573.95/1000</f>
        <v>766.57394999999997</v>
      </c>
      <c r="I187" s="12">
        <f>K187</f>
        <v>0</v>
      </c>
      <c r="J187" s="12" t="s">
        <v>25</v>
      </c>
      <c r="K187" s="18">
        <v>0</v>
      </c>
    </row>
    <row r="188" spans="1:11" s="32" customFormat="1" ht="62.25" customHeight="1" x14ac:dyDescent="0.25">
      <c r="A188" s="27"/>
      <c r="B188" s="166"/>
      <c r="C188" s="11" t="s">
        <v>191</v>
      </c>
      <c r="D188" s="11" t="s">
        <v>192</v>
      </c>
      <c r="E188" s="12">
        <v>1405</v>
      </c>
      <c r="F188" s="12">
        <f>H188</f>
        <v>1405</v>
      </c>
      <c r="G188" s="10" t="s">
        <v>193</v>
      </c>
      <c r="H188" s="10">
        <f>1405000/1000</f>
        <v>1405</v>
      </c>
      <c r="I188" s="12">
        <f>K188</f>
        <v>0</v>
      </c>
      <c r="J188" s="12" t="s">
        <v>25</v>
      </c>
      <c r="K188" s="18">
        <v>0</v>
      </c>
    </row>
    <row r="189" spans="1:11" s="32" customFormat="1" ht="30" customHeight="1" x14ac:dyDescent="0.25">
      <c r="A189" s="27"/>
      <c r="B189" s="166"/>
      <c r="C189" s="147" t="s">
        <v>194</v>
      </c>
      <c r="D189" s="185"/>
      <c r="E189" s="84" t="s">
        <v>25</v>
      </c>
      <c r="F189" s="12">
        <f t="shared" ref="F189:F209" si="17">H189</f>
        <v>140.96976000000001</v>
      </c>
      <c r="G189" s="84" t="s">
        <v>25</v>
      </c>
      <c r="H189" s="12">
        <f>140969.76/1000</f>
        <v>140.96976000000001</v>
      </c>
      <c r="I189" s="12">
        <f t="shared" ref="I189:I234" si="18">K189</f>
        <v>140.96976000000001</v>
      </c>
      <c r="J189" s="83" t="s">
        <v>25</v>
      </c>
      <c r="K189" s="18">
        <f>H189</f>
        <v>140.96976000000001</v>
      </c>
    </row>
    <row r="190" spans="1:11" s="32" customFormat="1" ht="30.75" customHeight="1" x14ac:dyDescent="0.25">
      <c r="A190" s="27"/>
      <c r="B190" s="166"/>
      <c r="C190" s="186" t="s">
        <v>195</v>
      </c>
      <c r="D190" s="164"/>
      <c r="E190" s="10" t="s">
        <v>25</v>
      </c>
      <c r="F190" s="10">
        <f t="shared" si="17"/>
        <v>123.94182000000001</v>
      </c>
      <c r="G190" s="10" t="s">
        <v>25</v>
      </c>
      <c r="H190" s="12">
        <f>123941.82/1000</f>
        <v>123.94182000000001</v>
      </c>
      <c r="I190" s="12">
        <f t="shared" si="18"/>
        <v>123.94182000000001</v>
      </c>
      <c r="J190" s="12" t="s">
        <v>25</v>
      </c>
      <c r="K190" s="18">
        <f>123941.82/1000</f>
        <v>123.94182000000001</v>
      </c>
    </row>
    <row r="191" spans="1:11" s="32" customFormat="1" ht="31.5" customHeight="1" x14ac:dyDescent="0.25">
      <c r="A191" s="27"/>
      <c r="B191" s="166"/>
      <c r="C191" s="147" t="s">
        <v>196</v>
      </c>
      <c r="D191" s="185"/>
      <c r="E191" s="84" t="s">
        <v>25</v>
      </c>
      <c r="F191" s="12">
        <f t="shared" si="17"/>
        <v>61.980620000000002</v>
      </c>
      <c r="G191" s="84" t="s">
        <v>25</v>
      </c>
      <c r="H191" s="10">
        <f>61980.62/1000</f>
        <v>61.980620000000002</v>
      </c>
      <c r="I191" s="83">
        <f t="shared" si="18"/>
        <v>61.980620000000002</v>
      </c>
      <c r="J191" s="83" t="s">
        <v>25</v>
      </c>
      <c r="K191" s="18">
        <f>61980.62/1000</f>
        <v>61.980620000000002</v>
      </c>
    </row>
    <row r="192" spans="1:11" s="32" customFormat="1" ht="32.25" customHeight="1" x14ac:dyDescent="0.25">
      <c r="A192" s="27"/>
      <c r="B192" s="166"/>
      <c r="C192" s="186" t="s">
        <v>197</v>
      </c>
      <c r="D192" s="164"/>
      <c r="E192" s="10" t="s">
        <v>25</v>
      </c>
      <c r="F192" s="10">
        <f t="shared" si="17"/>
        <v>52.593230000000005</v>
      </c>
      <c r="G192" s="10" t="s">
        <v>25</v>
      </c>
      <c r="H192" s="12">
        <f>52593.23/1000</f>
        <v>52.593230000000005</v>
      </c>
      <c r="I192" s="12">
        <f t="shared" si="18"/>
        <v>52.593230000000005</v>
      </c>
      <c r="J192" s="12" t="s">
        <v>25</v>
      </c>
      <c r="K192" s="42">
        <f>52593.23/1000</f>
        <v>52.593230000000005</v>
      </c>
    </row>
    <row r="193" spans="1:11" s="32" customFormat="1" ht="30" customHeight="1" x14ac:dyDescent="0.25">
      <c r="A193" s="27"/>
      <c r="B193" s="166"/>
      <c r="C193" s="186" t="s">
        <v>198</v>
      </c>
      <c r="D193" s="164"/>
      <c r="E193" s="10" t="s">
        <v>25</v>
      </c>
      <c r="F193" s="10">
        <f t="shared" si="17"/>
        <v>58.447319999999998</v>
      </c>
      <c r="G193" s="10" t="s">
        <v>25</v>
      </c>
      <c r="H193" s="19">
        <f>58447.32/1000</f>
        <v>58.447319999999998</v>
      </c>
      <c r="I193" s="20">
        <f t="shared" si="18"/>
        <v>58.447319999999998</v>
      </c>
      <c r="J193" s="10" t="s">
        <v>25</v>
      </c>
      <c r="K193" s="42">
        <f>58447.32/1000</f>
        <v>58.447319999999998</v>
      </c>
    </row>
    <row r="194" spans="1:11" s="32" customFormat="1" ht="30" customHeight="1" x14ac:dyDescent="0.25">
      <c r="A194" s="27"/>
      <c r="B194" s="166"/>
      <c r="C194" s="186" t="s">
        <v>199</v>
      </c>
      <c r="D194" s="164"/>
      <c r="E194" s="10" t="s">
        <v>25</v>
      </c>
      <c r="F194" s="10">
        <f t="shared" si="17"/>
        <v>527.19017000000008</v>
      </c>
      <c r="G194" s="10" t="s">
        <v>25</v>
      </c>
      <c r="H194" s="12">
        <f>527190.17/1000</f>
        <v>527.19017000000008</v>
      </c>
      <c r="I194" s="10">
        <f t="shared" si="18"/>
        <v>527.19017000000008</v>
      </c>
      <c r="J194" s="10" t="s">
        <v>25</v>
      </c>
      <c r="K194" s="42">
        <f>527190.17/1000</f>
        <v>527.19017000000008</v>
      </c>
    </row>
    <row r="195" spans="1:11" s="32" customFormat="1" ht="31.5" customHeight="1" x14ac:dyDescent="0.25">
      <c r="A195" s="27"/>
      <c r="B195" s="166"/>
      <c r="C195" s="186" t="s">
        <v>200</v>
      </c>
      <c r="D195" s="164"/>
      <c r="E195" s="10" t="s">
        <v>25</v>
      </c>
      <c r="F195" s="10">
        <f t="shared" si="17"/>
        <v>221.56912</v>
      </c>
      <c r="G195" s="10" t="s">
        <v>25</v>
      </c>
      <c r="H195" s="12">
        <f>K195</f>
        <v>221.56912</v>
      </c>
      <c r="I195" s="10">
        <f t="shared" si="18"/>
        <v>221.56912</v>
      </c>
      <c r="J195" s="10" t="s">
        <v>25</v>
      </c>
      <c r="K195" s="18">
        <f>221569.12/1000</f>
        <v>221.56912</v>
      </c>
    </row>
    <row r="196" spans="1:11" s="32" customFormat="1" ht="31.5" customHeight="1" x14ac:dyDescent="0.25">
      <c r="A196" s="27"/>
      <c r="B196" s="166"/>
      <c r="C196" s="186" t="s">
        <v>201</v>
      </c>
      <c r="D196" s="164"/>
      <c r="E196" s="10" t="s">
        <v>25</v>
      </c>
      <c r="F196" s="10">
        <f t="shared" si="17"/>
        <v>201.13813000000002</v>
      </c>
      <c r="G196" s="10" t="s">
        <v>25</v>
      </c>
      <c r="H196" s="12">
        <f t="shared" ref="H196:H197" si="19">K196</f>
        <v>201.13813000000002</v>
      </c>
      <c r="I196" s="10">
        <f t="shared" si="18"/>
        <v>201.13813000000002</v>
      </c>
      <c r="J196" s="10" t="s">
        <v>25</v>
      </c>
      <c r="K196" s="18">
        <f>201138.13/1000</f>
        <v>201.13813000000002</v>
      </c>
    </row>
    <row r="197" spans="1:11" s="32" customFormat="1" ht="31.5" customHeight="1" x14ac:dyDescent="0.25">
      <c r="A197" s="27"/>
      <c r="B197" s="166"/>
      <c r="C197" s="186" t="s">
        <v>202</v>
      </c>
      <c r="D197" s="164"/>
      <c r="E197" s="10" t="s">
        <v>25</v>
      </c>
      <c r="F197" s="10">
        <f t="shared" si="17"/>
        <v>188.07392999999999</v>
      </c>
      <c r="G197" s="10" t="s">
        <v>25</v>
      </c>
      <c r="H197" s="10">
        <f t="shared" si="19"/>
        <v>188.07392999999999</v>
      </c>
      <c r="I197" s="20">
        <f t="shared" si="18"/>
        <v>188.07392999999999</v>
      </c>
      <c r="J197" s="10" t="s">
        <v>25</v>
      </c>
      <c r="K197" s="18">
        <f>188073.93/1000</f>
        <v>188.07392999999999</v>
      </c>
    </row>
    <row r="198" spans="1:11" s="32" customFormat="1" ht="32.25" customHeight="1" x14ac:dyDescent="0.25">
      <c r="A198" s="27"/>
      <c r="B198" s="166"/>
      <c r="C198" s="163" t="s">
        <v>35</v>
      </c>
      <c r="D198" s="164"/>
      <c r="E198" s="9" t="s">
        <v>25</v>
      </c>
      <c r="F198" s="10">
        <f t="shared" si="17"/>
        <v>164.09325633851103</v>
      </c>
      <c r="G198" s="9" t="s">
        <v>25</v>
      </c>
      <c r="H198" s="10">
        <f>164093.256338511/1000</f>
        <v>164.09325633851103</v>
      </c>
      <c r="I198" s="10">
        <f t="shared" si="18"/>
        <v>197.64601000000002</v>
      </c>
      <c r="J198" s="9" t="s">
        <v>25</v>
      </c>
      <c r="K198" s="15">
        <f>197646.01/1000</f>
        <v>197.64601000000002</v>
      </c>
    </row>
    <row r="199" spans="1:11" s="32" customFormat="1" ht="30" customHeight="1" x14ac:dyDescent="0.25">
      <c r="A199" s="27"/>
      <c r="B199" s="166"/>
      <c r="C199" s="162" t="s">
        <v>36</v>
      </c>
      <c r="D199" s="157"/>
      <c r="E199" s="22" t="s">
        <v>25</v>
      </c>
      <c r="F199" s="10">
        <f t="shared" si="17"/>
        <v>216.167719728804</v>
      </c>
      <c r="G199" s="9" t="s">
        <v>25</v>
      </c>
      <c r="H199" s="10">
        <f>216167.719728804/1000</f>
        <v>216.167719728804</v>
      </c>
      <c r="I199" s="10">
        <f t="shared" si="18"/>
        <v>213.09222</v>
      </c>
      <c r="J199" s="9" t="s">
        <v>25</v>
      </c>
      <c r="K199" s="15">
        <f>213092.22/1000</f>
        <v>213.09222</v>
      </c>
    </row>
    <row r="200" spans="1:11" s="32" customFormat="1" ht="30" customHeight="1" x14ac:dyDescent="0.25">
      <c r="A200" s="27"/>
      <c r="B200" s="166"/>
      <c r="C200" s="162" t="s">
        <v>37</v>
      </c>
      <c r="D200" s="157"/>
      <c r="E200" s="22" t="s">
        <v>25</v>
      </c>
      <c r="F200" s="79">
        <f t="shared" si="17"/>
        <v>191.81648926286502</v>
      </c>
      <c r="G200" s="22" t="s">
        <v>25</v>
      </c>
      <c r="H200" s="79">
        <f>191816.489262865/1000</f>
        <v>191.81648926286502</v>
      </c>
      <c r="I200" s="79">
        <f>K200</f>
        <v>194.12916000000001</v>
      </c>
      <c r="J200" s="22" t="s">
        <v>25</v>
      </c>
      <c r="K200" s="14">
        <f>194129.16/1000</f>
        <v>194.12916000000001</v>
      </c>
    </row>
    <row r="201" spans="1:11" s="32" customFormat="1" ht="31.5" customHeight="1" x14ac:dyDescent="0.25">
      <c r="A201" s="27"/>
      <c r="B201" s="166"/>
      <c r="C201" s="162" t="s">
        <v>38</v>
      </c>
      <c r="D201" s="157"/>
      <c r="E201" s="22" t="s">
        <v>25</v>
      </c>
      <c r="F201" s="79">
        <f t="shared" si="17"/>
        <v>191.497466267037</v>
      </c>
      <c r="G201" s="22" t="s">
        <v>25</v>
      </c>
      <c r="H201" s="79">
        <f>191497.466267037/1000</f>
        <v>191.497466267037</v>
      </c>
      <c r="I201" s="79">
        <f t="shared" si="18"/>
        <v>185.36707000000001</v>
      </c>
      <c r="J201" s="22" t="s">
        <v>25</v>
      </c>
      <c r="K201" s="14">
        <f>185367.07/1000</f>
        <v>185.36707000000001</v>
      </c>
    </row>
    <row r="202" spans="1:11" s="32" customFormat="1" ht="31.5" customHeight="1" x14ac:dyDescent="0.25">
      <c r="A202" s="27"/>
      <c r="B202" s="166"/>
      <c r="C202" s="162" t="s">
        <v>39</v>
      </c>
      <c r="D202" s="157"/>
      <c r="E202" s="22" t="s">
        <v>25</v>
      </c>
      <c r="F202" s="79">
        <f t="shared" si="17"/>
        <v>193.21220421531498</v>
      </c>
      <c r="G202" s="22" t="s">
        <v>25</v>
      </c>
      <c r="H202" s="79">
        <f>193212.204215315/1000</f>
        <v>193.21220421531498</v>
      </c>
      <c r="I202" s="79">
        <f t="shared" si="18"/>
        <v>226.22585999999998</v>
      </c>
      <c r="J202" s="22" t="s">
        <v>25</v>
      </c>
      <c r="K202" s="14">
        <f>226225.86/1000</f>
        <v>226.22585999999998</v>
      </c>
    </row>
    <row r="203" spans="1:11" s="32" customFormat="1" ht="31.5" customHeight="1" x14ac:dyDescent="0.25">
      <c r="A203" s="27"/>
      <c r="B203" s="166"/>
      <c r="C203" s="163" t="s">
        <v>40</v>
      </c>
      <c r="D203" s="164"/>
      <c r="E203" s="9" t="s">
        <v>25</v>
      </c>
      <c r="F203" s="10">
        <f t="shared" si="17"/>
        <v>218.54530841257099</v>
      </c>
      <c r="G203" s="9" t="s">
        <v>25</v>
      </c>
      <c r="H203" s="10">
        <f>218545.308412571/1000</f>
        <v>218.54530841257099</v>
      </c>
      <c r="I203" s="10">
        <f t="shared" si="18"/>
        <v>172.12935999999999</v>
      </c>
      <c r="J203" s="9" t="s">
        <v>25</v>
      </c>
      <c r="K203" s="15">
        <f>172129.36/1000</f>
        <v>172.12935999999999</v>
      </c>
    </row>
    <row r="204" spans="1:11" s="32" customFormat="1" ht="32.25" customHeight="1" x14ac:dyDescent="0.25">
      <c r="A204" s="27"/>
      <c r="B204" s="166"/>
      <c r="C204" s="163" t="s">
        <v>35</v>
      </c>
      <c r="D204" s="164"/>
      <c r="E204" s="9" t="s">
        <v>25</v>
      </c>
      <c r="F204" s="10">
        <f t="shared" si="17"/>
        <v>-164.09325633851103</v>
      </c>
      <c r="G204" s="9" t="s">
        <v>25</v>
      </c>
      <c r="H204" s="25">
        <f>-164093.256338511/1000</f>
        <v>-164.09325633851103</v>
      </c>
      <c r="I204" s="10">
        <f t="shared" si="18"/>
        <v>-197.64601000000002</v>
      </c>
      <c r="J204" s="9" t="s">
        <v>25</v>
      </c>
      <c r="K204" s="26">
        <f>-197646.01/1000</f>
        <v>-197.64601000000002</v>
      </c>
    </row>
    <row r="205" spans="1:11" s="32" customFormat="1" ht="30" customHeight="1" x14ac:dyDescent="0.25">
      <c r="A205" s="27"/>
      <c r="B205" s="166"/>
      <c r="C205" s="162" t="s">
        <v>36</v>
      </c>
      <c r="D205" s="157"/>
      <c r="E205" s="22" t="s">
        <v>25</v>
      </c>
      <c r="F205" s="10">
        <f t="shared" si="17"/>
        <v>-216.167719728804</v>
      </c>
      <c r="G205" s="9" t="s">
        <v>25</v>
      </c>
      <c r="H205" s="25">
        <f>-216167.719728804/1000</f>
        <v>-216.167719728804</v>
      </c>
      <c r="I205" s="10">
        <f t="shared" si="18"/>
        <v>-213.09222</v>
      </c>
      <c r="J205" s="9" t="s">
        <v>25</v>
      </c>
      <c r="K205" s="26">
        <f>-213092.22/1000</f>
        <v>-213.09222</v>
      </c>
    </row>
    <row r="206" spans="1:11" s="32" customFormat="1" ht="30" customHeight="1" x14ac:dyDescent="0.25">
      <c r="A206" s="27"/>
      <c r="B206" s="166"/>
      <c r="C206" s="162" t="s">
        <v>37</v>
      </c>
      <c r="D206" s="157"/>
      <c r="E206" s="22" t="s">
        <v>25</v>
      </c>
      <c r="F206" s="79">
        <f t="shared" si="17"/>
        <v>-191.81648926286502</v>
      </c>
      <c r="G206" s="22" t="s">
        <v>25</v>
      </c>
      <c r="H206" s="85">
        <f>-191816.489262865/1000</f>
        <v>-191.81648926286502</v>
      </c>
      <c r="I206" s="79">
        <f>K206</f>
        <v>-194.12916000000001</v>
      </c>
      <c r="J206" s="22" t="s">
        <v>25</v>
      </c>
      <c r="K206" s="86">
        <f>-194129.16/1000</f>
        <v>-194.12916000000001</v>
      </c>
    </row>
    <row r="207" spans="1:11" s="32" customFormat="1" ht="31.5" customHeight="1" x14ac:dyDescent="0.25">
      <c r="A207" s="27"/>
      <c r="B207" s="166"/>
      <c r="C207" s="162" t="s">
        <v>38</v>
      </c>
      <c r="D207" s="157"/>
      <c r="E207" s="22" t="s">
        <v>25</v>
      </c>
      <c r="F207" s="79">
        <f t="shared" si="17"/>
        <v>-191.497466267037</v>
      </c>
      <c r="G207" s="22" t="s">
        <v>25</v>
      </c>
      <c r="H207" s="85">
        <f>-191497.466267037/1000</f>
        <v>-191.497466267037</v>
      </c>
      <c r="I207" s="79">
        <f t="shared" ref="I207:I209" si="20">K207</f>
        <v>-185.36707000000001</v>
      </c>
      <c r="J207" s="22" t="s">
        <v>25</v>
      </c>
      <c r="K207" s="86">
        <f>-185367.07/1000</f>
        <v>-185.36707000000001</v>
      </c>
    </row>
    <row r="208" spans="1:11" s="32" customFormat="1" ht="31.5" customHeight="1" x14ac:dyDescent="0.25">
      <c r="A208" s="27"/>
      <c r="B208" s="166"/>
      <c r="C208" s="162" t="s">
        <v>39</v>
      </c>
      <c r="D208" s="157"/>
      <c r="E208" s="22" t="s">
        <v>25</v>
      </c>
      <c r="F208" s="79">
        <f t="shared" si="17"/>
        <v>-193.21220421531498</v>
      </c>
      <c r="G208" s="22" t="s">
        <v>25</v>
      </c>
      <c r="H208" s="85">
        <f>-193212.204215315/1000</f>
        <v>-193.21220421531498</v>
      </c>
      <c r="I208" s="79">
        <f t="shared" si="20"/>
        <v>-226.22585999999998</v>
      </c>
      <c r="J208" s="22" t="s">
        <v>25</v>
      </c>
      <c r="K208" s="86">
        <f>-226225.86/1000</f>
        <v>-226.22585999999998</v>
      </c>
    </row>
    <row r="209" spans="1:11" s="32" customFormat="1" ht="31.5" customHeight="1" thickBot="1" x14ac:dyDescent="0.3">
      <c r="A209" s="27"/>
      <c r="B209" s="168"/>
      <c r="C209" s="174" t="s">
        <v>40</v>
      </c>
      <c r="D209" s="175"/>
      <c r="E209" s="28" t="s">
        <v>25</v>
      </c>
      <c r="F209" s="29">
        <f t="shared" si="17"/>
        <v>-218.54530841257099</v>
      </c>
      <c r="G209" s="28" t="s">
        <v>25</v>
      </c>
      <c r="H209" s="53">
        <f>-218545.308412571/1000</f>
        <v>-218.54530841257099</v>
      </c>
      <c r="I209" s="29">
        <f t="shared" si="20"/>
        <v>-172.12935999999999</v>
      </c>
      <c r="J209" s="28" t="s">
        <v>25</v>
      </c>
      <c r="K209" s="87">
        <f>-172129.36/1000</f>
        <v>-172.12935999999999</v>
      </c>
    </row>
    <row r="210" spans="1:11" s="32" customFormat="1" ht="30.75" customHeight="1" x14ac:dyDescent="0.25">
      <c r="A210" s="27"/>
      <c r="B210" s="165" t="s">
        <v>203</v>
      </c>
      <c r="C210" s="37" t="s">
        <v>21</v>
      </c>
      <c r="D210" s="88" t="s">
        <v>22</v>
      </c>
      <c r="E210" s="38" t="s">
        <v>23</v>
      </c>
      <c r="F210" s="38">
        <f t="shared" ref="F210:F215" si="21">H210</f>
        <v>500</v>
      </c>
      <c r="G210" s="38" t="s">
        <v>204</v>
      </c>
      <c r="H210" s="38">
        <f>500000/1000</f>
        <v>500</v>
      </c>
      <c r="I210" s="50">
        <f t="shared" si="18"/>
        <v>0</v>
      </c>
      <c r="J210" s="38" t="s">
        <v>25</v>
      </c>
      <c r="K210" s="39">
        <v>0</v>
      </c>
    </row>
    <row r="211" spans="1:11" s="32" customFormat="1" ht="63" customHeight="1" x14ac:dyDescent="0.25">
      <c r="A211" s="27"/>
      <c r="B211" s="166"/>
      <c r="C211" s="11" t="s">
        <v>33</v>
      </c>
      <c r="D211" s="11" t="s">
        <v>25</v>
      </c>
      <c r="E211" s="12" t="s">
        <v>25</v>
      </c>
      <c r="F211" s="12">
        <f t="shared" si="21"/>
        <v>22.472999999999999</v>
      </c>
      <c r="G211" s="10" t="s">
        <v>205</v>
      </c>
      <c r="H211" s="10">
        <f>22473/1000</f>
        <v>22.472999999999999</v>
      </c>
      <c r="I211" s="12">
        <f t="shared" si="18"/>
        <v>0</v>
      </c>
      <c r="J211" s="20" t="s">
        <v>25</v>
      </c>
      <c r="K211" s="18">
        <v>0</v>
      </c>
    </row>
    <row r="212" spans="1:11" s="32" customFormat="1" ht="45.75" customHeight="1" x14ac:dyDescent="0.25">
      <c r="A212" s="27"/>
      <c r="B212" s="166"/>
      <c r="C212" s="9" t="s">
        <v>26</v>
      </c>
      <c r="D212" s="17" t="s">
        <v>27</v>
      </c>
      <c r="E212" s="10" t="s">
        <v>25</v>
      </c>
      <c r="F212" s="10">
        <f t="shared" si="21"/>
        <v>6433.7478541999999</v>
      </c>
      <c r="G212" s="10" t="s">
        <v>206</v>
      </c>
      <c r="H212" s="10">
        <f>6433747.8542/1000</f>
        <v>6433.7478541999999</v>
      </c>
      <c r="I212" s="10">
        <f>K212</f>
        <v>6433.7478499999997</v>
      </c>
      <c r="J212" s="10" t="s">
        <v>207</v>
      </c>
      <c r="K212" s="15">
        <f>6433747.85/1000</f>
        <v>6433.7478499999997</v>
      </c>
    </row>
    <row r="213" spans="1:11" s="32" customFormat="1" ht="30" customHeight="1" x14ac:dyDescent="0.25">
      <c r="A213" s="27"/>
      <c r="B213" s="166"/>
      <c r="C213" s="147" t="s">
        <v>35</v>
      </c>
      <c r="D213" s="185"/>
      <c r="E213" s="11" t="s">
        <v>25</v>
      </c>
      <c r="F213" s="12">
        <f t="shared" si="21"/>
        <v>29.064313975861602</v>
      </c>
      <c r="G213" s="11" t="s">
        <v>25</v>
      </c>
      <c r="H213" s="12">
        <f>29064.3139758616/1000</f>
        <v>29.064313975861602</v>
      </c>
      <c r="I213" s="21">
        <f t="shared" si="18"/>
        <v>112.29562</v>
      </c>
      <c r="J213" s="11" t="s">
        <v>25</v>
      </c>
      <c r="K213" s="42">
        <f>112295.62/1000</f>
        <v>112.29562</v>
      </c>
    </row>
    <row r="214" spans="1:11" s="32" customFormat="1" ht="29.25" customHeight="1" x14ac:dyDescent="0.25">
      <c r="A214" s="27"/>
      <c r="B214" s="166"/>
      <c r="C214" s="150" t="s">
        <v>36</v>
      </c>
      <c r="D214" s="150"/>
      <c r="E214" s="11" t="s">
        <v>25</v>
      </c>
      <c r="F214" s="12">
        <f t="shared" si="21"/>
        <v>109.727895345752</v>
      </c>
      <c r="G214" s="11" t="s">
        <v>25</v>
      </c>
      <c r="H214" s="12">
        <f>109727.895345752/1000</f>
        <v>109.727895345752</v>
      </c>
      <c r="I214" s="21">
        <f t="shared" si="18"/>
        <v>82.091610000000003</v>
      </c>
      <c r="J214" s="11" t="s">
        <v>25</v>
      </c>
      <c r="K214" s="42">
        <f>82091.61/1000</f>
        <v>82.091610000000003</v>
      </c>
    </row>
    <row r="215" spans="1:11" s="32" customFormat="1" ht="32.25" customHeight="1" x14ac:dyDescent="0.25">
      <c r="A215" s="27"/>
      <c r="B215" s="166"/>
      <c r="C215" s="163" t="s">
        <v>37</v>
      </c>
      <c r="D215" s="164"/>
      <c r="E215" s="9" t="s">
        <v>25</v>
      </c>
      <c r="F215" s="10">
        <f t="shared" si="21"/>
        <v>81.497852443932103</v>
      </c>
      <c r="G215" s="9" t="s">
        <v>25</v>
      </c>
      <c r="H215" s="10">
        <f>81497.8524439321/1000</f>
        <v>81.497852443932103</v>
      </c>
      <c r="I215" s="19">
        <f t="shared" si="18"/>
        <v>101.69999</v>
      </c>
      <c r="J215" s="9" t="s">
        <v>25</v>
      </c>
      <c r="K215" s="40">
        <f>101699.99/1000</f>
        <v>101.69999</v>
      </c>
    </row>
    <row r="216" spans="1:11" s="32" customFormat="1" ht="32.25" customHeight="1" x14ac:dyDescent="0.25">
      <c r="A216" s="27"/>
      <c r="B216" s="166"/>
      <c r="C216" s="147" t="s">
        <v>38</v>
      </c>
      <c r="D216" s="185"/>
      <c r="E216" s="11" t="s">
        <v>25</v>
      </c>
      <c r="F216" s="12">
        <f t="shared" ref="F216:F234" si="22">H216</f>
        <v>100.813579940238</v>
      </c>
      <c r="G216" s="12" t="s">
        <v>25</v>
      </c>
      <c r="H216" s="12">
        <f>100813.579940238/1000</f>
        <v>100.813579940238</v>
      </c>
      <c r="I216" s="21">
        <f t="shared" si="18"/>
        <v>107.11291</v>
      </c>
      <c r="J216" s="11" t="s">
        <v>25</v>
      </c>
      <c r="K216" s="42">
        <f>107112.91/1000</f>
        <v>107.11291</v>
      </c>
    </row>
    <row r="217" spans="1:11" s="32" customFormat="1" ht="31.5" customHeight="1" x14ac:dyDescent="0.25">
      <c r="A217" s="27"/>
      <c r="B217" s="166"/>
      <c r="C217" s="150" t="s">
        <v>39</v>
      </c>
      <c r="D217" s="150"/>
      <c r="E217" s="11" t="s">
        <v>25</v>
      </c>
      <c r="F217" s="12">
        <f t="shared" si="22"/>
        <v>105.362843865025</v>
      </c>
      <c r="G217" s="11" t="s">
        <v>25</v>
      </c>
      <c r="H217" s="12">
        <f>105362.843865025/1000</f>
        <v>105.362843865025</v>
      </c>
      <c r="I217" s="21">
        <f t="shared" si="18"/>
        <v>101.25869999999999</v>
      </c>
      <c r="J217" s="11" t="s">
        <v>25</v>
      </c>
      <c r="K217" s="42">
        <f>101258.7/1000</f>
        <v>101.25869999999999</v>
      </c>
    </row>
    <row r="218" spans="1:11" s="32" customFormat="1" ht="30" customHeight="1" x14ac:dyDescent="0.25">
      <c r="A218" s="27"/>
      <c r="B218" s="166"/>
      <c r="C218" s="163" t="s">
        <v>40</v>
      </c>
      <c r="D218" s="164"/>
      <c r="E218" s="9" t="s">
        <v>25</v>
      </c>
      <c r="F218" s="10">
        <f t="shared" si="22"/>
        <v>102.694207230535</v>
      </c>
      <c r="G218" s="9" t="s">
        <v>25</v>
      </c>
      <c r="H218" s="10">
        <f>102694.207230535/1000</f>
        <v>102.694207230535</v>
      </c>
      <c r="I218" s="19">
        <f t="shared" si="18"/>
        <v>79.847610000000003</v>
      </c>
      <c r="J218" s="9" t="s">
        <v>25</v>
      </c>
      <c r="K218" s="40">
        <f>79847.61/1000</f>
        <v>79.847610000000003</v>
      </c>
    </row>
    <row r="219" spans="1:11" s="32" customFormat="1" ht="30" customHeight="1" x14ac:dyDescent="0.25">
      <c r="A219" s="27"/>
      <c r="B219" s="166"/>
      <c r="C219" s="147" t="s">
        <v>35</v>
      </c>
      <c r="D219" s="185"/>
      <c r="E219" s="11" t="s">
        <v>25</v>
      </c>
      <c r="F219" s="12">
        <f>H219</f>
        <v>-29.064313975861602</v>
      </c>
      <c r="G219" s="11" t="s">
        <v>25</v>
      </c>
      <c r="H219" s="23">
        <f>-29064.3139758616/1000</f>
        <v>-29.064313975861602</v>
      </c>
      <c r="I219" s="21">
        <f t="shared" si="18"/>
        <v>-112.29562</v>
      </c>
      <c r="J219" s="11" t="s">
        <v>25</v>
      </c>
      <c r="K219" s="89">
        <f>-112295.62/1000</f>
        <v>-112.29562</v>
      </c>
    </row>
    <row r="220" spans="1:11" s="32" customFormat="1" ht="29.25" customHeight="1" x14ac:dyDescent="0.25">
      <c r="A220" s="27"/>
      <c r="B220" s="166"/>
      <c r="C220" s="150" t="s">
        <v>36</v>
      </c>
      <c r="D220" s="150"/>
      <c r="E220" s="11" t="s">
        <v>25</v>
      </c>
      <c r="F220" s="12">
        <f>H220</f>
        <v>-109.727895345752</v>
      </c>
      <c r="G220" s="11" t="s">
        <v>25</v>
      </c>
      <c r="H220" s="23">
        <f>-109727.895345752/1000</f>
        <v>-109.727895345752</v>
      </c>
      <c r="I220" s="21">
        <f t="shared" si="18"/>
        <v>-82.091610000000003</v>
      </c>
      <c r="J220" s="11" t="s">
        <v>25</v>
      </c>
      <c r="K220" s="89">
        <f>-82091.61/1000</f>
        <v>-82.091610000000003</v>
      </c>
    </row>
    <row r="221" spans="1:11" s="32" customFormat="1" ht="32.25" customHeight="1" x14ac:dyDescent="0.25">
      <c r="A221" s="27"/>
      <c r="B221" s="166"/>
      <c r="C221" s="163" t="s">
        <v>37</v>
      </c>
      <c r="D221" s="164"/>
      <c r="E221" s="9" t="s">
        <v>25</v>
      </c>
      <c r="F221" s="10">
        <f>H221</f>
        <v>-81.497852443932103</v>
      </c>
      <c r="G221" s="9" t="s">
        <v>25</v>
      </c>
      <c r="H221" s="25">
        <f>-81497.8524439321/1000</f>
        <v>-81.497852443932103</v>
      </c>
      <c r="I221" s="19">
        <f t="shared" si="18"/>
        <v>-101.69999</v>
      </c>
      <c r="J221" s="9" t="s">
        <v>25</v>
      </c>
      <c r="K221" s="52">
        <f>-101699.99/1000</f>
        <v>-101.69999</v>
      </c>
    </row>
    <row r="222" spans="1:11" s="32" customFormat="1" ht="32.25" customHeight="1" x14ac:dyDescent="0.25">
      <c r="A222" s="27"/>
      <c r="B222" s="166"/>
      <c r="C222" s="147" t="s">
        <v>38</v>
      </c>
      <c r="D222" s="185"/>
      <c r="E222" s="11" t="s">
        <v>25</v>
      </c>
      <c r="F222" s="12">
        <f t="shared" ref="F222:F224" si="23">H222</f>
        <v>-100.813579940238</v>
      </c>
      <c r="G222" s="12" t="s">
        <v>25</v>
      </c>
      <c r="H222" s="23">
        <f>-100813.579940238/1000</f>
        <v>-100.813579940238</v>
      </c>
      <c r="I222" s="21">
        <f t="shared" si="18"/>
        <v>-107.11291</v>
      </c>
      <c r="J222" s="11" t="s">
        <v>25</v>
      </c>
      <c r="K222" s="89">
        <f>-107112.91/1000</f>
        <v>-107.11291</v>
      </c>
    </row>
    <row r="223" spans="1:11" s="32" customFormat="1" ht="31.5" customHeight="1" x14ac:dyDescent="0.25">
      <c r="A223" s="27"/>
      <c r="B223" s="166"/>
      <c r="C223" s="150" t="s">
        <v>39</v>
      </c>
      <c r="D223" s="150"/>
      <c r="E223" s="11" t="s">
        <v>25</v>
      </c>
      <c r="F223" s="12">
        <f t="shared" si="23"/>
        <v>-105.362843865025</v>
      </c>
      <c r="G223" s="11" t="s">
        <v>25</v>
      </c>
      <c r="H223" s="23">
        <f>-105362.843865025/1000</f>
        <v>-105.362843865025</v>
      </c>
      <c r="I223" s="21">
        <f t="shared" si="18"/>
        <v>-101.25869999999999</v>
      </c>
      <c r="J223" s="11" t="s">
        <v>25</v>
      </c>
      <c r="K223" s="89">
        <f>-101258.7/1000</f>
        <v>-101.25869999999999</v>
      </c>
    </row>
    <row r="224" spans="1:11" s="32" customFormat="1" ht="30" customHeight="1" thickBot="1" x14ac:dyDescent="0.3">
      <c r="A224" s="27"/>
      <c r="B224" s="168"/>
      <c r="C224" s="174" t="s">
        <v>40</v>
      </c>
      <c r="D224" s="175"/>
      <c r="E224" s="28" t="s">
        <v>25</v>
      </c>
      <c r="F224" s="29">
        <f t="shared" si="23"/>
        <v>-102.694207230535</v>
      </c>
      <c r="G224" s="28" t="s">
        <v>25</v>
      </c>
      <c r="H224" s="53">
        <f>-102694.207230535/1000</f>
        <v>-102.694207230535</v>
      </c>
      <c r="I224" s="30">
        <f t="shared" si="18"/>
        <v>-79.847610000000003</v>
      </c>
      <c r="J224" s="28" t="s">
        <v>25</v>
      </c>
      <c r="K224" s="54">
        <f>-79847.61/1000</f>
        <v>-79.847610000000003</v>
      </c>
    </row>
    <row r="225" spans="1:11" s="32" customFormat="1" ht="93.75" customHeight="1" x14ac:dyDescent="0.25">
      <c r="A225" s="27"/>
      <c r="B225" s="165" t="s">
        <v>208</v>
      </c>
      <c r="C225" s="187" t="s">
        <v>209</v>
      </c>
      <c r="D225" s="188"/>
      <c r="E225" s="90" t="s">
        <v>25</v>
      </c>
      <c r="F225" s="38">
        <f t="shared" si="22"/>
        <v>5.0861400000000003</v>
      </c>
      <c r="G225" s="38" t="s">
        <v>25</v>
      </c>
      <c r="H225" s="38">
        <f>K225</f>
        <v>5.0861400000000003</v>
      </c>
      <c r="I225" s="38">
        <f t="shared" si="18"/>
        <v>5.0861400000000003</v>
      </c>
      <c r="J225" s="38" t="s">
        <v>25</v>
      </c>
      <c r="K225" s="39">
        <f>5086.14/1000</f>
        <v>5.0861400000000003</v>
      </c>
    </row>
    <row r="226" spans="1:11" s="32" customFormat="1" ht="58.5" customHeight="1" x14ac:dyDescent="0.25">
      <c r="A226" s="27"/>
      <c r="B226" s="166"/>
      <c r="C226" s="163" t="s">
        <v>210</v>
      </c>
      <c r="D226" s="164"/>
      <c r="E226" s="64" t="s">
        <v>25</v>
      </c>
      <c r="F226" s="12" t="str">
        <f t="shared" si="22"/>
        <v>__</v>
      </c>
      <c r="G226" s="12" t="s">
        <v>25</v>
      </c>
      <c r="H226" s="12" t="s">
        <v>25</v>
      </c>
      <c r="I226" s="12">
        <f t="shared" si="18"/>
        <v>69.000004400000009</v>
      </c>
      <c r="J226" s="12" t="s">
        <v>25</v>
      </c>
      <c r="K226" s="91">
        <f>69000.0044/1000</f>
        <v>69.000004400000009</v>
      </c>
    </row>
    <row r="227" spans="1:11" s="32" customFormat="1" ht="58.5" customHeight="1" x14ac:dyDescent="0.25">
      <c r="A227" s="27"/>
      <c r="B227" s="166"/>
      <c r="C227" s="163" t="s">
        <v>211</v>
      </c>
      <c r="D227" s="164"/>
      <c r="E227" s="64" t="s">
        <v>25</v>
      </c>
      <c r="F227" s="12" t="str">
        <f t="shared" si="22"/>
        <v>__</v>
      </c>
      <c r="G227" s="12" t="s">
        <v>25</v>
      </c>
      <c r="H227" s="12" t="s">
        <v>25</v>
      </c>
      <c r="I227" s="12">
        <f t="shared" si="18"/>
        <v>69.000004400000009</v>
      </c>
      <c r="J227" s="12" t="s">
        <v>25</v>
      </c>
      <c r="K227" s="91">
        <f>69000.0044/1000</f>
        <v>69.000004400000009</v>
      </c>
    </row>
    <row r="228" spans="1:11" s="32" customFormat="1" ht="58.5" customHeight="1" x14ac:dyDescent="0.25">
      <c r="A228" s="27"/>
      <c r="B228" s="166"/>
      <c r="C228" s="163" t="s">
        <v>212</v>
      </c>
      <c r="D228" s="164"/>
      <c r="E228" s="64" t="s">
        <v>25</v>
      </c>
      <c r="F228" s="12" t="str">
        <f t="shared" si="22"/>
        <v>__</v>
      </c>
      <c r="G228" s="12" t="s">
        <v>25</v>
      </c>
      <c r="H228" s="12" t="s">
        <v>25</v>
      </c>
      <c r="I228" s="12">
        <f t="shared" si="18"/>
        <v>138</v>
      </c>
      <c r="J228" s="12" t="s">
        <v>25</v>
      </c>
      <c r="K228" s="91">
        <f>138000/1000</f>
        <v>138</v>
      </c>
    </row>
    <row r="229" spans="1:11" s="32" customFormat="1" ht="58.5" customHeight="1" x14ac:dyDescent="0.25">
      <c r="A229" s="27"/>
      <c r="B229" s="166"/>
      <c r="C229" s="163" t="s">
        <v>213</v>
      </c>
      <c r="D229" s="164"/>
      <c r="E229" s="64" t="s">
        <v>25</v>
      </c>
      <c r="F229" s="12" t="str">
        <f t="shared" si="22"/>
        <v>__</v>
      </c>
      <c r="G229" s="12" t="s">
        <v>25</v>
      </c>
      <c r="H229" s="12" t="s">
        <v>25</v>
      </c>
      <c r="I229" s="12">
        <f t="shared" si="18"/>
        <v>207</v>
      </c>
      <c r="J229" s="12" t="s">
        <v>25</v>
      </c>
      <c r="K229" s="91">
        <f>207000/1000</f>
        <v>207</v>
      </c>
    </row>
    <row r="230" spans="1:11" s="32" customFormat="1" ht="58.5" customHeight="1" x14ac:dyDescent="0.25">
      <c r="A230" s="27"/>
      <c r="B230" s="166"/>
      <c r="C230" s="163" t="s">
        <v>214</v>
      </c>
      <c r="D230" s="164"/>
      <c r="E230" s="64"/>
      <c r="F230" s="12">
        <f t="shared" si="22"/>
        <v>1.01722</v>
      </c>
      <c r="G230" s="12"/>
      <c r="H230" s="12">
        <f>K230</f>
        <v>1.01722</v>
      </c>
      <c r="I230" s="12">
        <f t="shared" si="18"/>
        <v>1.01722</v>
      </c>
      <c r="J230" s="12" t="s">
        <v>25</v>
      </c>
      <c r="K230" s="91">
        <f>1017.22/1000</f>
        <v>1.01722</v>
      </c>
    </row>
    <row r="231" spans="1:11" s="32" customFormat="1" ht="58.5" customHeight="1" x14ac:dyDescent="0.25">
      <c r="A231" s="27"/>
      <c r="B231" s="166"/>
      <c r="C231" s="163" t="s">
        <v>215</v>
      </c>
      <c r="D231" s="164"/>
      <c r="E231" s="64"/>
      <c r="F231" s="12">
        <f t="shared" si="22"/>
        <v>1.01722</v>
      </c>
      <c r="G231" s="12"/>
      <c r="H231" s="12">
        <f>K231</f>
        <v>1.01722</v>
      </c>
      <c r="I231" s="12">
        <f t="shared" si="18"/>
        <v>1.01722</v>
      </c>
      <c r="J231" s="12" t="s">
        <v>25</v>
      </c>
      <c r="K231" s="91">
        <f>1017.22/1000</f>
        <v>1.01722</v>
      </c>
    </row>
    <row r="232" spans="1:11" s="32" customFormat="1" ht="58.5" customHeight="1" x14ac:dyDescent="0.25">
      <c r="A232" s="27"/>
      <c r="B232" s="166"/>
      <c r="C232" s="163" t="s">
        <v>216</v>
      </c>
      <c r="D232" s="164"/>
      <c r="E232" s="64"/>
      <c r="F232" s="12">
        <f t="shared" si="22"/>
        <v>20.46744</v>
      </c>
      <c r="G232" s="12"/>
      <c r="H232" s="12">
        <f>K232</f>
        <v>20.46744</v>
      </c>
      <c r="I232" s="12">
        <f t="shared" si="18"/>
        <v>20.46744</v>
      </c>
      <c r="J232" s="12" t="s">
        <v>25</v>
      </c>
      <c r="K232" s="91">
        <f>20467.44/1000</f>
        <v>20.46744</v>
      </c>
    </row>
    <row r="233" spans="1:11" s="32" customFormat="1" ht="58.5" customHeight="1" x14ac:dyDescent="0.25">
      <c r="A233" s="27"/>
      <c r="B233" s="166"/>
      <c r="C233" s="163" t="s">
        <v>217</v>
      </c>
      <c r="D233" s="164"/>
      <c r="E233" s="64"/>
      <c r="F233" s="12">
        <f t="shared" si="22"/>
        <v>30.701160000000002</v>
      </c>
      <c r="G233" s="12"/>
      <c r="H233" s="12">
        <f>K233</f>
        <v>30.701160000000002</v>
      </c>
      <c r="I233" s="12">
        <f t="shared" si="18"/>
        <v>30.701160000000002</v>
      </c>
      <c r="J233" s="12" t="s">
        <v>25</v>
      </c>
      <c r="K233" s="91">
        <f>30701.16/1000</f>
        <v>30.701160000000002</v>
      </c>
    </row>
    <row r="234" spans="1:11" s="32" customFormat="1" ht="58.5" customHeight="1" thickBot="1" x14ac:dyDescent="0.3">
      <c r="A234" s="27"/>
      <c r="B234" s="168"/>
      <c r="C234" s="28" t="s">
        <v>218</v>
      </c>
      <c r="D234" s="92" t="s">
        <v>219</v>
      </c>
      <c r="E234" s="57">
        <f>828000/1000</f>
        <v>828</v>
      </c>
      <c r="F234" s="45">
        <f t="shared" si="22"/>
        <v>828</v>
      </c>
      <c r="G234" s="45" t="s">
        <v>220</v>
      </c>
      <c r="H234" s="45">
        <v>828</v>
      </c>
      <c r="I234" s="45">
        <f t="shared" si="18"/>
        <v>0</v>
      </c>
      <c r="J234" s="45" t="s">
        <v>25</v>
      </c>
      <c r="K234" s="93">
        <v>0</v>
      </c>
    </row>
    <row r="235" spans="1:11" s="32" customFormat="1" ht="120" hidden="1" customHeight="1" x14ac:dyDescent="0.25">
      <c r="A235" s="27"/>
      <c r="B235" s="165" t="s">
        <v>221</v>
      </c>
      <c r="C235" s="7" t="s">
        <v>222</v>
      </c>
      <c r="D235" s="7" t="s">
        <v>223</v>
      </c>
      <c r="E235" s="8">
        <v>23253.236059999999</v>
      </c>
      <c r="F235" s="38">
        <f>H235</f>
        <v>0</v>
      </c>
      <c r="G235" s="38"/>
      <c r="H235" s="38"/>
      <c r="I235" s="38" t="s">
        <v>25</v>
      </c>
      <c r="J235" s="38"/>
      <c r="K235" s="39"/>
    </row>
    <row r="236" spans="1:11" s="32" customFormat="1" ht="45" x14ac:dyDescent="0.25">
      <c r="A236" s="27"/>
      <c r="B236" s="166"/>
      <c r="C236" s="156" t="s">
        <v>224</v>
      </c>
      <c r="D236" s="189" t="s">
        <v>225</v>
      </c>
      <c r="E236" s="159">
        <f>33884745.19/1000</f>
        <v>33884.745189999994</v>
      </c>
      <c r="F236" s="159">
        <f>SUM(H236:H252)</f>
        <v>33810.065259999996</v>
      </c>
      <c r="G236" s="10" t="s">
        <v>226</v>
      </c>
      <c r="H236" s="80">
        <f>33810065.26/1000</f>
        <v>33810.065259999996</v>
      </c>
      <c r="I236" s="159">
        <f>K236+K237+K238+K239+K240+K241+K242+K243+K244+K245+K246+K247+K248+K249+K250+K251+K252</f>
        <v>23802.652279999998</v>
      </c>
      <c r="J236" s="12" t="s">
        <v>227</v>
      </c>
      <c r="K236" s="18">
        <f>921215.13/1000</f>
        <v>921.21513000000004</v>
      </c>
    </row>
    <row r="237" spans="1:11" s="32" customFormat="1" ht="45" x14ac:dyDescent="0.25">
      <c r="A237" s="27"/>
      <c r="B237" s="166"/>
      <c r="C237" s="156"/>
      <c r="D237" s="190"/>
      <c r="E237" s="152"/>
      <c r="F237" s="152"/>
      <c r="G237" s="10" t="s">
        <v>25</v>
      </c>
      <c r="H237" s="10">
        <v>0</v>
      </c>
      <c r="I237" s="152"/>
      <c r="J237" s="12" t="s">
        <v>228</v>
      </c>
      <c r="K237" s="18">
        <f>439794.83/1000</f>
        <v>439.79482999999999</v>
      </c>
    </row>
    <row r="238" spans="1:11" s="32" customFormat="1" ht="45" x14ac:dyDescent="0.25">
      <c r="A238" s="27"/>
      <c r="B238" s="166"/>
      <c r="C238" s="156"/>
      <c r="D238" s="190"/>
      <c r="E238" s="152"/>
      <c r="F238" s="152"/>
      <c r="G238" s="10" t="s">
        <v>25</v>
      </c>
      <c r="H238" s="10">
        <v>0</v>
      </c>
      <c r="I238" s="152"/>
      <c r="J238" s="12" t="s">
        <v>229</v>
      </c>
      <c r="K238" s="18">
        <f>137961.28/1000</f>
        <v>137.96127999999999</v>
      </c>
    </row>
    <row r="239" spans="1:11" s="32" customFormat="1" ht="45" x14ac:dyDescent="0.25">
      <c r="A239" s="27"/>
      <c r="B239" s="166"/>
      <c r="C239" s="156"/>
      <c r="D239" s="190"/>
      <c r="E239" s="152"/>
      <c r="F239" s="152"/>
      <c r="G239" s="10" t="s">
        <v>25</v>
      </c>
      <c r="H239" s="10">
        <v>0</v>
      </c>
      <c r="I239" s="152"/>
      <c r="J239" s="12" t="s">
        <v>230</v>
      </c>
      <c r="K239" s="18">
        <f>5977042.97/1000</f>
        <v>5977.0429699999995</v>
      </c>
    </row>
    <row r="240" spans="1:11" s="32" customFormat="1" ht="45" x14ac:dyDescent="0.25">
      <c r="A240" s="27"/>
      <c r="B240" s="166"/>
      <c r="C240" s="156"/>
      <c r="D240" s="190"/>
      <c r="E240" s="152"/>
      <c r="F240" s="152"/>
      <c r="G240" s="10" t="s">
        <v>25</v>
      </c>
      <c r="H240" s="10">
        <v>0</v>
      </c>
      <c r="I240" s="152"/>
      <c r="J240" s="12" t="s">
        <v>231</v>
      </c>
      <c r="K240" s="18">
        <f>2442744.57/1000</f>
        <v>2442.7445699999998</v>
      </c>
    </row>
    <row r="241" spans="1:11" s="32" customFormat="1" ht="45" customHeight="1" x14ac:dyDescent="0.25">
      <c r="A241" s="27"/>
      <c r="B241" s="166"/>
      <c r="C241" s="156"/>
      <c r="D241" s="190"/>
      <c r="E241" s="152"/>
      <c r="F241" s="152"/>
      <c r="G241" s="10" t="s">
        <v>25</v>
      </c>
      <c r="H241" s="10">
        <v>0</v>
      </c>
      <c r="I241" s="152"/>
      <c r="J241" s="12" t="s">
        <v>232</v>
      </c>
      <c r="K241" s="18">
        <f>98541.13/1000</f>
        <v>98.54113000000001</v>
      </c>
    </row>
    <row r="242" spans="1:11" s="32" customFormat="1" ht="45" customHeight="1" x14ac:dyDescent="0.25">
      <c r="A242" s="27"/>
      <c r="B242" s="166"/>
      <c r="C242" s="156"/>
      <c r="D242" s="190"/>
      <c r="E242" s="152"/>
      <c r="F242" s="152"/>
      <c r="G242" s="10" t="s">
        <v>25</v>
      </c>
      <c r="H242" s="10">
        <v>0</v>
      </c>
      <c r="I242" s="152"/>
      <c r="J242" s="12" t="s">
        <v>233</v>
      </c>
      <c r="K242" s="18">
        <f>182238.94/1000</f>
        <v>182.23894000000001</v>
      </c>
    </row>
    <row r="243" spans="1:11" s="32" customFormat="1" ht="45" customHeight="1" x14ac:dyDescent="0.25">
      <c r="A243" s="27"/>
      <c r="B243" s="166"/>
      <c r="C243" s="156"/>
      <c r="D243" s="190"/>
      <c r="E243" s="152"/>
      <c r="F243" s="152"/>
      <c r="G243" s="10" t="s">
        <v>25</v>
      </c>
      <c r="H243" s="10">
        <v>0</v>
      </c>
      <c r="I243" s="152"/>
      <c r="J243" s="12" t="s">
        <v>234</v>
      </c>
      <c r="K243" s="18">
        <f>1137085.12/1000</f>
        <v>1137.0851200000002</v>
      </c>
    </row>
    <row r="244" spans="1:11" s="32" customFormat="1" ht="45" customHeight="1" x14ac:dyDescent="0.25">
      <c r="A244" s="27"/>
      <c r="B244" s="166"/>
      <c r="C244" s="156"/>
      <c r="D244" s="190"/>
      <c r="E244" s="152"/>
      <c r="F244" s="152"/>
      <c r="G244" s="10" t="s">
        <v>25</v>
      </c>
      <c r="H244" s="10">
        <v>0</v>
      </c>
      <c r="I244" s="152"/>
      <c r="J244" s="12" t="s">
        <v>235</v>
      </c>
      <c r="K244" s="18">
        <f>412490.31/1000</f>
        <v>412.49031000000002</v>
      </c>
    </row>
    <row r="245" spans="1:11" s="32" customFormat="1" ht="46.5" customHeight="1" x14ac:dyDescent="0.25">
      <c r="A245" s="27"/>
      <c r="B245" s="166"/>
      <c r="C245" s="156"/>
      <c r="D245" s="190"/>
      <c r="E245" s="152"/>
      <c r="F245" s="152"/>
      <c r="G245" s="10" t="s">
        <v>25</v>
      </c>
      <c r="H245" s="10">
        <v>0</v>
      </c>
      <c r="I245" s="152"/>
      <c r="J245" s="12" t="s">
        <v>236</v>
      </c>
      <c r="K245" s="18">
        <f>901561.57/1000</f>
        <v>901.56156999999996</v>
      </c>
    </row>
    <row r="246" spans="1:11" s="32" customFormat="1" ht="45" customHeight="1" x14ac:dyDescent="0.25">
      <c r="A246" s="27"/>
      <c r="B246" s="166"/>
      <c r="C246" s="156"/>
      <c r="D246" s="190"/>
      <c r="E246" s="152"/>
      <c r="F246" s="152"/>
      <c r="G246" s="10" t="s">
        <v>25</v>
      </c>
      <c r="H246" s="10">
        <v>0</v>
      </c>
      <c r="I246" s="152"/>
      <c r="J246" s="12" t="s">
        <v>237</v>
      </c>
      <c r="K246" s="18">
        <f>945771/1000</f>
        <v>945.77099999999996</v>
      </c>
    </row>
    <row r="247" spans="1:11" s="32" customFormat="1" ht="45" customHeight="1" x14ac:dyDescent="0.25">
      <c r="A247" s="27"/>
      <c r="B247" s="166"/>
      <c r="C247" s="156"/>
      <c r="D247" s="190"/>
      <c r="E247" s="152"/>
      <c r="F247" s="152"/>
      <c r="G247" s="10" t="s">
        <v>25</v>
      </c>
      <c r="H247" s="10">
        <v>0</v>
      </c>
      <c r="I247" s="152"/>
      <c r="J247" s="12" t="s">
        <v>238</v>
      </c>
      <c r="K247" s="18">
        <f>6718846.78/1000</f>
        <v>6718.8467799999999</v>
      </c>
    </row>
    <row r="248" spans="1:11" s="32" customFormat="1" ht="45" customHeight="1" x14ac:dyDescent="0.25">
      <c r="A248" s="27"/>
      <c r="B248" s="166"/>
      <c r="C248" s="156"/>
      <c r="D248" s="190"/>
      <c r="E248" s="152"/>
      <c r="F248" s="152"/>
      <c r="G248" s="10" t="s">
        <v>25</v>
      </c>
      <c r="H248" s="10">
        <v>0</v>
      </c>
      <c r="I248" s="152"/>
      <c r="J248" s="12" t="s">
        <v>239</v>
      </c>
      <c r="K248" s="18">
        <f>477335.85/1000</f>
        <v>477.33584999999999</v>
      </c>
    </row>
    <row r="249" spans="1:11" s="32" customFormat="1" ht="45" customHeight="1" x14ac:dyDescent="0.25">
      <c r="A249" s="27"/>
      <c r="B249" s="166"/>
      <c r="C249" s="156"/>
      <c r="D249" s="190"/>
      <c r="E249" s="152"/>
      <c r="F249" s="152"/>
      <c r="G249" s="10" t="s">
        <v>25</v>
      </c>
      <c r="H249" s="10">
        <v>0</v>
      </c>
      <c r="I249" s="152"/>
      <c r="J249" s="12" t="s">
        <v>240</v>
      </c>
      <c r="K249" s="18">
        <f>1562647.59/1000</f>
        <v>1562.64759</v>
      </c>
    </row>
    <row r="250" spans="1:11" s="32" customFormat="1" ht="45" customHeight="1" x14ac:dyDescent="0.25">
      <c r="A250" s="27"/>
      <c r="B250" s="166"/>
      <c r="C250" s="156"/>
      <c r="D250" s="190"/>
      <c r="E250" s="152"/>
      <c r="F250" s="152"/>
      <c r="G250" s="10" t="s">
        <v>25</v>
      </c>
      <c r="H250" s="10">
        <v>0</v>
      </c>
      <c r="I250" s="152"/>
      <c r="J250" s="12" t="s">
        <v>241</v>
      </c>
      <c r="K250" s="18">
        <f>1192058.89/1000</f>
        <v>1192.0588899999998</v>
      </c>
    </row>
    <row r="251" spans="1:11" s="32" customFormat="1" ht="45" customHeight="1" x14ac:dyDescent="0.25">
      <c r="A251" s="27"/>
      <c r="B251" s="166"/>
      <c r="C251" s="156"/>
      <c r="D251" s="190"/>
      <c r="E251" s="152"/>
      <c r="F251" s="152"/>
      <c r="G251" s="10" t="s">
        <v>25</v>
      </c>
      <c r="H251" s="10">
        <v>0</v>
      </c>
      <c r="I251" s="152"/>
      <c r="J251" s="12" t="s">
        <v>242</v>
      </c>
      <c r="K251" s="18">
        <f>197507.94/1000</f>
        <v>197.50793999999999</v>
      </c>
    </row>
    <row r="252" spans="1:11" s="32" customFormat="1" ht="45" customHeight="1" x14ac:dyDescent="0.25">
      <c r="A252" s="27"/>
      <c r="B252" s="166"/>
      <c r="C252" s="161"/>
      <c r="D252" s="190"/>
      <c r="E252" s="152"/>
      <c r="F252" s="152"/>
      <c r="G252" s="79" t="s">
        <v>25</v>
      </c>
      <c r="H252" s="10">
        <v>0</v>
      </c>
      <c r="I252" s="152"/>
      <c r="J252" s="12" t="s">
        <v>243</v>
      </c>
      <c r="K252" s="18">
        <f>57808.38/1000</f>
        <v>57.80838</v>
      </c>
    </row>
    <row r="253" spans="1:11" s="32" customFormat="1" ht="45" x14ac:dyDescent="0.25">
      <c r="A253" s="27"/>
      <c r="B253" s="166"/>
      <c r="C253" s="9" t="s">
        <v>79</v>
      </c>
      <c r="D253" s="9" t="s">
        <v>27</v>
      </c>
      <c r="E253" s="10" t="s">
        <v>25</v>
      </c>
      <c r="F253" s="10">
        <f>H253</f>
        <v>0</v>
      </c>
      <c r="G253" s="10" t="s">
        <v>25</v>
      </c>
      <c r="H253" s="10">
        <v>0</v>
      </c>
      <c r="I253" s="10">
        <f>K253</f>
        <v>292.25391580000002</v>
      </c>
      <c r="J253" s="10" t="s">
        <v>244</v>
      </c>
      <c r="K253" s="18">
        <v>292.25391580000002</v>
      </c>
    </row>
    <row r="254" spans="1:11" s="32" customFormat="1" ht="30" x14ac:dyDescent="0.25">
      <c r="A254" s="27"/>
      <c r="B254" s="166"/>
      <c r="C254" s="22" t="s">
        <v>21</v>
      </c>
      <c r="D254" s="22" t="s">
        <v>22</v>
      </c>
      <c r="E254" s="79" t="s">
        <v>23</v>
      </c>
      <c r="F254" s="79">
        <f>H254</f>
        <v>500</v>
      </c>
      <c r="G254" s="11" t="s">
        <v>245</v>
      </c>
      <c r="H254" s="12">
        <f>500000/1000</f>
        <v>500</v>
      </c>
      <c r="I254" s="10">
        <f>K254</f>
        <v>0</v>
      </c>
      <c r="J254" s="12" t="s">
        <v>25</v>
      </c>
      <c r="K254" s="18">
        <v>0</v>
      </c>
    </row>
    <row r="255" spans="1:11" s="32" customFormat="1" ht="45" x14ac:dyDescent="0.25">
      <c r="A255" s="27"/>
      <c r="B255" s="166"/>
      <c r="C255" s="94" t="s">
        <v>246</v>
      </c>
      <c r="D255" s="10" t="s">
        <v>247</v>
      </c>
      <c r="E255" s="10" t="s">
        <v>25</v>
      </c>
      <c r="F255" s="10">
        <f>H255</f>
        <v>5.8650000000000002</v>
      </c>
      <c r="G255" s="10" t="s">
        <v>248</v>
      </c>
      <c r="H255" s="10">
        <f>5865/1000</f>
        <v>5.8650000000000002</v>
      </c>
      <c r="I255" s="83">
        <f>K255</f>
        <v>5.8650000000000002</v>
      </c>
      <c r="J255" s="83" t="s">
        <v>249</v>
      </c>
      <c r="K255" s="15">
        <f>5865/1000</f>
        <v>5.8650000000000002</v>
      </c>
    </row>
    <row r="256" spans="1:11" s="32" customFormat="1" ht="48.75" customHeight="1" x14ac:dyDescent="0.25">
      <c r="A256" s="27"/>
      <c r="B256" s="166"/>
      <c r="C256" s="163" t="s">
        <v>250</v>
      </c>
      <c r="D256" s="164"/>
      <c r="E256" s="12" t="s">
        <v>25</v>
      </c>
      <c r="F256" s="10" t="str">
        <f t="shared" ref="F256:F296" si="24">H256</f>
        <v>__</v>
      </c>
      <c r="G256" s="12" t="s">
        <v>25</v>
      </c>
      <c r="H256" s="12" t="s">
        <v>25</v>
      </c>
      <c r="I256" s="10">
        <f t="shared" ref="I256:I296" si="25">K256</f>
        <v>20372.3492214</v>
      </c>
      <c r="J256" s="12" t="s">
        <v>25</v>
      </c>
      <c r="K256" s="18">
        <f>20372349.2214/1000</f>
        <v>20372.3492214</v>
      </c>
    </row>
    <row r="257" spans="1:11" s="32" customFormat="1" ht="48.75" customHeight="1" x14ac:dyDescent="0.25">
      <c r="A257" s="27"/>
      <c r="B257" s="166"/>
      <c r="C257" s="163" t="s">
        <v>251</v>
      </c>
      <c r="D257" s="164"/>
      <c r="E257" s="12" t="s">
        <v>25</v>
      </c>
      <c r="F257" s="10">
        <f t="shared" si="24"/>
        <v>-139.06889999999999</v>
      </c>
      <c r="G257" s="12" t="s">
        <v>252</v>
      </c>
      <c r="H257" s="12">
        <f>-139068.9/1000</f>
        <v>-139.06889999999999</v>
      </c>
      <c r="I257" s="10">
        <f t="shared" si="25"/>
        <v>0</v>
      </c>
      <c r="J257" s="12" t="s">
        <v>25</v>
      </c>
      <c r="K257" s="18">
        <v>0</v>
      </c>
    </row>
    <row r="258" spans="1:11" s="32" customFormat="1" ht="30.75" customHeight="1" x14ac:dyDescent="0.25">
      <c r="A258" s="27"/>
      <c r="B258" s="166"/>
      <c r="C258" s="146" t="s">
        <v>35</v>
      </c>
      <c r="D258" s="158"/>
      <c r="E258" s="11" t="s">
        <v>25</v>
      </c>
      <c r="F258" s="12">
        <f t="shared" si="24"/>
        <v>177.144667218552</v>
      </c>
      <c r="G258" s="11" t="s">
        <v>25</v>
      </c>
      <c r="H258" s="12">
        <f>177144.667218552/1000</f>
        <v>177.144667218552</v>
      </c>
      <c r="I258" s="12">
        <f t="shared" si="25"/>
        <v>222.92658</v>
      </c>
      <c r="J258" s="11" t="s">
        <v>25</v>
      </c>
      <c r="K258" s="18">
        <f>222926.58/1000</f>
        <v>222.92658</v>
      </c>
    </row>
    <row r="259" spans="1:11" s="32" customFormat="1" ht="29.25" customHeight="1" x14ac:dyDescent="0.25">
      <c r="A259" s="27"/>
      <c r="B259" s="166"/>
      <c r="C259" s="162" t="s">
        <v>36</v>
      </c>
      <c r="D259" s="157"/>
      <c r="E259" s="22" t="s">
        <v>25</v>
      </c>
      <c r="F259" s="10">
        <f t="shared" si="24"/>
        <v>240.708819091061</v>
      </c>
      <c r="G259" s="9" t="s">
        <v>25</v>
      </c>
      <c r="H259" s="10">
        <f>240708.819091061/1000</f>
        <v>240.708819091061</v>
      </c>
      <c r="I259" s="10">
        <f t="shared" si="25"/>
        <v>233.28882999999999</v>
      </c>
      <c r="J259" s="9" t="s">
        <v>25</v>
      </c>
      <c r="K259" s="15">
        <f>233288.83/1000</f>
        <v>233.28882999999999</v>
      </c>
    </row>
    <row r="260" spans="1:11" s="32" customFormat="1" ht="29.25" customHeight="1" x14ac:dyDescent="0.25">
      <c r="A260" s="27"/>
      <c r="B260" s="166"/>
      <c r="C260" s="162" t="s">
        <v>37</v>
      </c>
      <c r="D260" s="157"/>
      <c r="E260" s="22" t="s">
        <v>25</v>
      </c>
      <c r="F260" s="79">
        <f t="shared" si="24"/>
        <v>204.55814210750501</v>
      </c>
      <c r="G260" s="22" t="s">
        <v>25</v>
      </c>
      <c r="H260" s="79">
        <f>204558.142107505/1000</f>
        <v>204.55814210750501</v>
      </c>
      <c r="I260" s="79">
        <f t="shared" si="25"/>
        <v>191.30392999999998</v>
      </c>
      <c r="J260" s="22" t="s">
        <v>25</v>
      </c>
      <c r="K260" s="14">
        <f>191303.93/1000</f>
        <v>191.30392999999998</v>
      </c>
    </row>
    <row r="261" spans="1:11" s="32" customFormat="1" ht="30.75" customHeight="1" x14ac:dyDescent="0.25">
      <c r="A261" s="27"/>
      <c r="B261" s="166"/>
      <c r="C261" s="162" t="s">
        <v>38</v>
      </c>
      <c r="D261" s="157"/>
      <c r="E261" s="22" t="s">
        <v>25</v>
      </c>
      <c r="F261" s="79">
        <f t="shared" si="24"/>
        <v>181.840021809576</v>
      </c>
      <c r="G261" s="22" t="s">
        <v>25</v>
      </c>
      <c r="H261" s="79">
        <f>181840.021809576/1000</f>
        <v>181.840021809576</v>
      </c>
      <c r="I261" s="79">
        <f t="shared" si="25"/>
        <v>152.72726999999998</v>
      </c>
      <c r="J261" s="22" t="s">
        <v>25</v>
      </c>
      <c r="K261" s="14">
        <f>152727.27/1000</f>
        <v>152.72726999999998</v>
      </c>
    </row>
    <row r="262" spans="1:11" s="32" customFormat="1" ht="30" customHeight="1" x14ac:dyDescent="0.25">
      <c r="A262" s="27"/>
      <c r="B262" s="166"/>
      <c r="C262" s="162" t="s">
        <v>39</v>
      </c>
      <c r="D262" s="157"/>
      <c r="E262" s="22" t="s">
        <v>25</v>
      </c>
      <c r="F262" s="79">
        <f t="shared" si="24"/>
        <v>159.681469207155</v>
      </c>
      <c r="G262" s="22" t="s">
        <v>25</v>
      </c>
      <c r="H262" s="79">
        <f>159681.469207155/1000</f>
        <v>159.681469207155</v>
      </c>
      <c r="I262" s="79">
        <f t="shared" si="25"/>
        <v>179.54555999999999</v>
      </c>
      <c r="J262" s="22" t="s">
        <v>25</v>
      </c>
      <c r="K262" s="14">
        <f>179545.56/1000</f>
        <v>179.54555999999999</v>
      </c>
    </row>
    <row r="263" spans="1:11" s="32" customFormat="1" ht="30" customHeight="1" x14ac:dyDescent="0.25">
      <c r="A263" s="27"/>
      <c r="B263" s="166"/>
      <c r="C263" s="163" t="s">
        <v>40</v>
      </c>
      <c r="D263" s="164"/>
      <c r="E263" s="9" t="s">
        <v>25</v>
      </c>
      <c r="F263" s="10">
        <f t="shared" si="24"/>
        <v>159.46858736606998</v>
      </c>
      <c r="G263" s="9" t="s">
        <v>25</v>
      </c>
      <c r="H263" s="10">
        <f>159468.58736607/1000</f>
        <v>159.46858736606998</v>
      </c>
      <c r="I263" s="10">
        <f t="shared" si="25"/>
        <v>73.040649999999999</v>
      </c>
      <c r="J263" s="9" t="s">
        <v>25</v>
      </c>
      <c r="K263" s="15">
        <f>73040.65/1000</f>
        <v>73.040649999999999</v>
      </c>
    </row>
    <row r="264" spans="1:11" s="32" customFormat="1" ht="30.75" customHeight="1" x14ac:dyDescent="0.25">
      <c r="A264" s="27"/>
      <c r="B264" s="166"/>
      <c r="C264" s="146" t="s">
        <v>35</v>
      </c>
      <c r="D264" s="158"/>
      <c r="E264" s="11" t="s">
        <v>25</v>
      </c>
      <c r="F264" s="12">
        <f t="shared" si="24"/>
        <v>-177.144667218552</v>
      </c>
      <c r="G264" s="11" t="s">
        <v>25</v>
      </c>
      <c r="H264" s="23">
        <f>-177144.667218552/1000</f>
        <v>-177.144667218552</v>
      </c>
      <c r="I264" s="12">
        <f t="shared" si="25"/>
        <v>-222.92658</v>
      </c>
      <c r="J264" s="11" t="s">
        <v>25</v>
      </c>
      <c r="K264" s="24">
        <f>-222926.58/1000</f>
        <v>-222.92658</v>
      </c>
    </row>
    <row r="265" spans="1:11" s="32" customFormat="1" ht="29.25" customHeight="1" x14ac:dyDescent="0.25">
      <c r="A265" s="27"/>
      <c r="B265" s="166"/>
      <c r="C265" s="162" t="s">
        <v>36</v>
      </c>
      <c r="D265" s="157"/>
      <c r="E265" s="22" t="s">
        <v>25</v>
      </c>
      <c r="F265" s="10">
        <f t="shared" si="24"/>
        <v>-240.708819091061</v>
      </c>
      <c r="G265" s="9" t="s">
        <v>25</v>
      </c>
      <c r="H265" s="25">
        <f>-240708.819091061/1000</f>
        <v>-240.708819091061</v>
      </c>
      <c r="I265" s="10">
        <f t="shared" si="25"/>
        <v>-233.28882999999999</v>
      </c>
      <c r="J265" s="9" t="s">
        <v>25</v>
      </c>
      <c r="K265" s="26">
        <f>-233288.83/1000</f>
        <v>-233.28882999999999</v>
      </c>
    </row>
    <row r="266" spans="1:11" s="32" customFormat="1" ht="29.25" customHeight="1" x14ac:dyDescent="0.25">
      <c r="A266" s="27"/>
      <c r="B266" s="166"/>
      <c r="C266" s="162" t="s">
        <v>37</v>
      </c>
      <c r="D266" s="157"/>
      <c r="E266" s="22" t="s">
        <v>25</v>
      </c>
      <c r="F266" s="79">
        <f t="shared" si="24"/>
        <v>-204.55814210750501</v>
      </c>
      <c r="G266" s="22" t="s">
        <v>25</v>
      </c>
      <c r="H266" s="85">
        <f>-204558.142107505/1000</f>
        <v>-204.55814210750501</v>
      </c>
      <c r="I266" s="79">
        <f t="shared" si="25"/>
        <v>-191.30392999999998</v>
      </c>
      <c r="J266" s="22" t="s">
        <v>25</v>
      </c>
      <c r="K266" s="86">
        <f>-191303.93/1000</f>
        <v>-191.30392999999998</v>
      </c>
    </row>
    <row r="267" spans="1:11" s="32" customFormat="1" ht="30.75" customHeight="1" x14ac:dyDescent="0.25">
      <c r="A267" s="27"/>
      <c r="B267" s="166"/>
      <c r="C267" s="162" t="s">
        <v>38</v>
      </c>
      <c r="D267" s="157"/>
      <c r="E267" s="22" t="s">
        <v>25</v>
      </c>
      <c r="F267" s="79">
        <f t="shared" si="24"/>
        <v>-181.840021809576</v>
      </c>
      <c r="G267" s="22" t="s">
        <v>25</v>
      </c>
      <c r="H267" s="85">
        <f>-181840.021809576/1000</f>
        <v>-181.840021809576</v>
      </c>
      <c r="I267" s="79">
        <f t="shared" si="25"/>
        <v>-152.72726999999998</v>
      </c>
      <c r="J267" s="22" t="s">
        <v>25</v>
      </c>
      <c r="K267" s="86">
        <f>-152727.27/1000</f>
        <v>-152.72726999999998</v>
      </c>
    </row>
    <row r="268" spans="1:11" s="32" customFormat="1" ht="30" customHeight="1" x14ac:dyDescent="0.25">
      <c r="A268" s="27"/>
      <c r="B268" s="166"/>
      <c r="C268" s="162" t="s">
        <v>39</v>
      </c>
      <c r="D268" s="157"/>
      <c r="E268" s="22" t="s">
        <v>25</v>
      </c>
      <c r="F268" s="79">
        <f t="shared" si="24"/>
        <v>-159.681469207155</v>
      </c>
      <c r="G268" s="22" t="s">
        <v>25</v>
      </c>
      <c r="H268" s="85">
        <f>-159681.469207155/1000</f>
        <v>-159.681469207155</v>
      </c>
      <c r="I268" s="79">
        <f t="shared" si="25"/>
        <v>-179.54555999999999</v>
      </c>
      <c r="J268" s="22" t="s">
        <v>25</v>
      </c>
      <c r="K268" s="86">
        <f>-179545.56/1000</f>
        <v>-179.54555999999999</v>
      </c>
    </row>
    <row r="269" spans="1:11" s="32" customFormat="1" ht="30" customHeight="1" thickBot="1" x14ac:dyDescent="0.3">
      <c r="A269" s="27"/>
      <c r="B269" s="168"/>
      <c r="C269" s="174" t="s">
        <v>40</v>
      </c>
      <c r="D269" s="175"/>
      <c r="E269" s="28" t="s">
        <v>25</v>
      </c>
      <c r="F269" s="29">
        <f t="shared" si="24"/>
        <v>-159.46858736606998</v>
      </c>
      <c r="G269" s="28" t="s">
        <v>25</v>
      </c>
      <c r="H269" s="53">
        <f>-159468.58736607/1000</f>
        <v>-159.46858736606998</v>
      </c>
      <c r="I269" s="29">
        <f t="shared" si="25"/>
        <v>-73.040649999999999</v>
      </c>
      <c r="J269" s="28" t="s">
        <v>25</v>
      </c>
      <c r="K269" s="87">
        <f>-73040.65/1000</f>
        <v>-73.040649999999999</v>
      </c>
    </row>
    <row r="270" spans="1:11" s="32" customFormat="1" ht="45" customHeight="1" x14ac:dyDescent="0.25">
      <c r="A270" s="27"/>
      <c r="B270" s="176" t="s">
        <v>253</v>
      </c>
      <c r="C270" s="37" t="s">
        <v>21</v>
      </c>
      <c r="D270" s="88" t="s">
        <v>22</v>
      </c>
      <c r="E270" s="38" t="s">
        <v>23</v>
      </c>
      <c r="F270" s="38">
        <f t="shared" si="24"/>
        <v>150</v>
      </c>
      <c r="G270" s="37" t="s">
        <v>254</v>
      </c>
      <c r="H270" s="38">
        <f>150000/1000</f>
        <v>150</v>
      </c>
      <c r="I270" s="50">
        <f t="shared" si="25"/>
        <v>0</v>
      </c>
      <c r="J270" s="38" t="s">
        <v>25</v>
      </c>
      <c r="K270" s="39">
        <v>0</v>
      </c>
    </row>
    <row r="271" spans="1:11" s="32" customFormat="1" ht="45" x14ac:dyDescent="0.25">
      <c r="A271" s="27"/>
      <c r="B271" s="177"/>
      <c r="C271" s="9" t="s">
        <v>26</v>
      </c>
      <c r="D271" s="9" t="s">
        <v>27</v>
      </c>
      <c r="E271" s="10" t="s">
        <v>25</v>
      </c>
      <c r="F271" s="10">
        <f t="shared" si="24"/>
        <v>1075.5284994000001</v>
      </c>
      <c r="G271" s="10" t="s">
        <v>93</v>
      </c>
      <c r="H271" s="10">
        <f>1075528.4994/1000</f>
        <v>1075.5284994000001</v>
      </c>
      <c r="I271" s="19">
        <f t="shared" si="25"/>
        <v>1075.5284994000001</v>
      </c>
      <c r="J271" s="10" t="s">
        <v>94</v>
      </c>
      <c r="K271" s="18">
        <f>1075528.4994/1000</f>
        <v>1075.5284994000001</v>
      </c>
    </row>
    <row r="272" spans="1:11" s="32" customFormat="1" ht="27.75" customHeight="1" x14ac:dyDescent="0.25">
      <c r="A272" s="27"/>
      <c r="B272" s="177"/>
      <c r="C272" s="156" t="s">
        <v>95</v>
      </c>
      <c r="D272" s="157" t="s">
        <v>255</v>
      </c>
      <c r="E272" s="159">
        <f>1445500/1000</f>
        <v>1445.5</v>
      </c>
      <c r="F272" s="159">
        <f t="shared" si="24"/>
        <v>0</v>
      </c>
      <c r="G272" s="10" t="s">
        <v>25</v>
      </c>
      <c r="H272" s="19">
        <v>0</v>
      </c>
      <c r="I272" s="191">
        <f>K272+K273</f>
        <v>988.13666339999997</v>
      </c>
      <c r="J272" s="10" t="s">
        <v>256</v>
      </c>
      <c r="K272" s="40">
        <f>773764.14/1000</f>
        <v>773.76414</v>
      </c>
    </row>
    <row r="273" spans="1:11" s="32" customFormat="1" ht="27.75" customHeight="1" x14ac:dyDescent="0.25">
      <c r="A273" s="27"/>
      <c r="B273" s="177"/>
      <c r="C273" s="156"/>
      <c r="D273" s="185"/>
      <c r="E273" s="153"/>
      <c r="F273" s="153"/>
      <c r="G273" s="10" t="s">
        <v>25</v>
      </c>
      <c r="H273" s="19">
        <v>0</v>
      </c>
      <c r="I273" s="192"/>
      <c r="J273" s="10" t="s">
        <v>257</v>
      </c>
      <c r="K273" s="40">
        <v>214.37252340000001</v>
      </c>
    </row>
    <row r="274" spans="1:11" s="32" customFormat="1" ht="31.5" customHeight="1" x14ac:dyDescent="0.25">
      <c r="A274" s="27"/>
      <c r="B274" s="177"/>
      <c r="C274" s="163" t="s">
        <v>99</v>
      </c>
      <c r="D274" s="164"/>
      <c r="E274" s="9" t="s">
        <v>25</v>
      </c>
      <c r="F274" s="10">
        <f t="shared" si="24"/>
        <v>25.9019339859375</v>
      </c>
      <c r="G274" s="9" t="s">
        <v>25</v>
      </c>
      <c r="H274" s="10">
        <f>25901.9339859375/1000</f>
        <v>25.9019339859375</v>
      </c>
      <c r="I274" s="19">
        <f>K274</f>
        <v>84.607869999999991</v>
      </c>
      <c r="J274" s="9" t="s">
        <v>25</v>
      </c>
      <c r="K274" s="40">
        <f>84607.87/1000</f>
        <v>84.607869999999991</v>
      </c>
    </row>
    <row r="275" spans="1:11" s="32" customFormat="1" ht="31.5" customHeight="1" thickBot="1" x14ac:dyDescent="0.3">
      <c r="A275" s="27"/>
      <c r="B275" s="177"/>
      <c r="C275" s="162" t="s">
        <v>99</v>
      </c>
      <c r="D275" s="157"/>
      <c r="E275" s="22" t="s">
        <v>25</v>
      </c>
      <c r="F275" s="79">
        <f t="shared" si="24"/>
        <v>-25.9019339859375</v>
      </c>
      <c r="G275" s="22" t="s">
        <v>25</v>
      </c>
      <c r="H275" s="85">
        <f>-25901.9339859375/1000</f>
        <v>-25.9019339859375</v>
      </c>
      <c r="I275" s="48">
        <f>K275</f>
        <v>-84.607869999999991</v>
      </c>
      <c r="J275" s="22" t="s">
        <v>25</v>
      </c>
      <c r="K275" s="95">
        <f>-84607.87/1000</f>
        <v>-84.607869999999991</v>
      </c>
    </row>
    <row r="276" spans="1:11" s="32" customFormat="1" ht="51.75" customHeight="1" x14ac:dyDescent="0.25">
      <c r="A276" s="27"/>
      <c r="B276" s="176" t="s">
        <v>258</v>
      </c>
      <c r="C276" s="37" t="s">
        <v>259</v>
      </c>
      <c r="D276" s="88" t="s">
        <v>260</v>
      </c>
      <c r="E276" s="38">
        <f>8181813.14/1000</f>
        <v>8181.8131399999993</v>
      </c>
      <c r="F276" s="38">
        <f t="shared" si="24"/>
        <v>0</v>
      </c>
      <c r="G276" s="37" t="s">
        <v>25</v>
      </c>
      <c r="H276" s="38">
        <v>0</v>
      </c>
      <c r="I276" s="50">
        <f t="shared" si="25"/>
        <v>944.15445</v>
      </c>
      <c r="J276" s="37" t="s">
        <v>261</v>
      </c>
      <c r="K276" s="51">
        <f>944154.45/1000</f>
        <v>944.15445</v>
      </c>
    </row>
    <row r="277" spans="1:11" s="32" customFormat="1" ht="51.75" customHeight="1" x14ac:dyDescent="0.25">
      <c r="A277" s="27"/>
      <c r="B277" s="177"/>
      <c r="C277" s="163" t="s">
        <v>262</v>
      </c>
      <c r="D277" s="164"/>
      <c r="E277" s="10" t="s">
        <v>25</v>
      </c>
      <c r="F277" s="10" t="str">
        <f t="shared" si="24"/>
        <v>__</v>
      </c>
      <c r="G277" s="10" t="s">
        <v>25</v>
      </c>
      <c r="H277" s="10" t="s">
        <v>25</v>
      </c>
      <c r="I277" s="10">
        <f t="shared" si="25"/>
        <v>1776.9578228</v>
      </c>
      <c r="J277" s="10" t="s">
        <v>25</v>
      </c>
      <c r="K277" s="15">
        <f>1776957.8228/1000</f>
        <v>1776.9578228</v>
      </c>
    </row>
    <row r="278" spans="1:11" s="32" customFormat="1" ht="51.75" customHeight="1" x14ac:dyDescent="0.25">
      <c r="A278" s="27"/>
      <c r="B278" s="177"/>
      <c r="C278" s="11" t="s">
        <v>263</v>
      </c>
      <c r="D278" s="96" t="s">
        <v>264</v>
      </c>
      <c r="E278" s="12">
        <f>6879065.5/1000</f>
        <v>6879.0654999999997</v>
      </c>
      <c r="F278" s="12">
        <f>H278</f>
        <v>6879.0654999999997</v>
      </c>
      <c r="G278" s="11" t="s">
        <v>265</v>
      </c>
      <c r="H278" s="12">
        <f>6879065.5/1000</f>
        <v>6879.0654999999997</v>
      </c>
      <c r="I278" s="21">
        <f t="shared" si="25"/>
        <v>0</v>
      </c>
      <c r="J278" s="10" t="s">
        <v>25</v>
      </c>
      <c r="K278" s="42">
        <v>0</v>
      </c>
    </row>
    <row r="279" spans="1:11" s="32" customFormat="1" ht="51.75" customHeight="1" x14ac:dyDescent="0.25">
      <c r="A279" s="27"/>
      <c r="B279" s="177"/>
      <c r="C279" s="9" t="s">
        <v>79</v>
      </c>
      <c r="D279" s="17" t="s">
        <v>27</v>
      </c>
      <c r="E279" s="9" t="s">
        <v>25</v>
      </c>
      <c r="F279" s="10">
        <f t="shared" ref="F279:F280" si="26">H279</f>
        <v>239.88992999999999</v>
      </c>
      <c r="G279" s="9" t="s">
        <v>266</v>
      </c>
      <c r="H279" s="97">
        <f>239889.93/1000</f>
        <v>239.88992999999999</v>
      </c>
      <c r="I279" s="19">
        <f t="shared" si="25"/>
        <v>0</v>
      </c>
      <c r="J279" s="10" t="s">
        <v>25</v>
      </c>
      <c r="K279" s="98">
        <v>0</v>
      </c>
    </row>
    <row r="280" spans="1:11" s="32" customFormat="1" ht="51.75" customHeight="1" x14ac:dyDescent="0.25">
      <c r="A280" s="27"/>
      <c r="B280" s="177"/>
      <c r="C280" s="9" t="s">
        <v>79</v>
      </c>
      <c r="D280" s="17" t="s">
        <v>27</v>
      </c>
      <c r="E280" s="9" t="s">
        <v>25</v>
      </c>
      <c r="F280" s="10">
        <f t="shared" si="26"/>
        <v>491.85190999999998</v>
      </c>
      <c r="G280" s="9" t="s">
        <v>80</v>
      </c>
      <c r="H280" s="97">
        <f>491851.91/1000</f>
        <v>491.85190999999998</v>
      </c>
      <c r="I280" s="19">
        <f t="shared" si="25"/>
        <v>0</v>
      </c>
      <c r="J280" s="10" t="s">
        <v>25</v>
      </c>
      <c r="K280" s="98">
        <v>0</v>
      </c>
    </row>
    <row r="281" spans="1:11" s="32" customFormat="1" ht="48" customHeight="1" x14ac:dyDescent="0.25">
      <c r="A281" s="27"/>
      <c r="B281" s="177"/>
      <c r="C281" s="147" t="s">
        <v>37</v>
      </c>
      <c r="D281" s="185"/>
      <c r="E281" s="11" t="s">
        <v>25</v>
      </c>
      <c r="F281" s="12">
        <f t="shared" si="24"/>
        <v>26.941724320040699</v>
      </c>
      <c r="G281" s="11" t="s">
        <v>25</v>
      </c>
      <c r="H281" s="12">
        <f>26941.7243200407/1000</f>
        <v>26.941724320040699</v>
      </c>
      <c r="I281" s="21">
        <f t="shared" si="25"/>
        <v>106.81099</v>
      </c>
      <c r="J281" s="11" t="s">
        <v>25</v>
      </c>
      <c r="K281" s="42">
        <f>106810.99/1000</f>
        <v>106.81099</v>
      </c>
    </row>
    <row r="282" spans="1:11" s="32" customFormat="1" ht="48" customHeight="1" x14ac:dyDescent="0.25">
      <c r="A282" s="27"/>
      <c r="B282" s="177"/>
      <c r="C282" s="163" t="s">
        <v>38</v>
      </c>
      <c r="D282" s="164"/>
      <c r="E282" s="9" t="s">
        <v>25</v>
      </c>
      <c r="F282" s="10">
        <f t="shared" si="24"/>
        <v>107.794776284614</v>
      </c>
      <c r="G282" s="9" t="s">
        <v>25</v>
      </c>
      <c r="H282" s="10">
        <f>107794.776284614/1000</f>
        <v>107.794776284614</v>
      </c>
      <c r="I282" s="19">
        <f t="shared" si="25"/>
        <v>116.15196</v>
      </c>
      <c r="J282" s="9" t="s">
        <v>25</v>
      </c>
      <c r="K282" s="40">
        <f>116151.96/1000</f>
        <v>116.15196</v>
      </c>
    </row>
    <row r="283" spans="1:11" s="32" customFormat="1" ht="38.25" customHeight="1" x14ac:dyDescent="0.25">
      <c r="A283" s="27"/>
      <c r="B283" s="177"/>
      <c r="C283" s="163" t="s">
        <v>39</v>
      </c>
      <c r="D283" s="164"/>
      <c r="E283" s="9" t="s">
        <v>25</v>
      </c>
      <c r="F283" s="10">
        <f t="shared" si="24"/>
        <v>118.30889099195501</v>
      </c>
      <c r="G283" s="9" t="s">
        <v>25</v>
      </c>
      <c r="H283" s="10">
        <f>118308.890991955/1000</f>
        <v>118.30889099195501</v>
      </c>
      <c r="I283" s="19">
        <f>K283</f>
        <v>123.46875999999999</v>
      </c>
      <c r="J283" s="9" t="s">
        <v>25</v>
      </c>
      <c r="K283" s="40">
        <f>123468.76/1000</f>
        <v>123.46875999999999</v>
      </c>
    </row>
    <row r="284" spans="1:11" s="32" customFormat="1" ht="38.25" customHeight="1" x14ac:dyDescent="0.25">
      <c r="A284" s="27"/>
      <c r="B284" s="177"/>
      <c r="C284" s="163" t="s">
        <v>99</v>
      </c>
      <c r="D284" s="164"/>
      <c r="E284" s="9" t="s">
        <v>25</v>
      </c>
      <c r="F284" s="10">
        <f t="shared" si="24"/>
        <v>115.905316950828</v>
      </c>
      <c r="G284" s="9" t="s">
        <v>25</v>
      </c>
      <c r="H284" s="10">
        <f>115905.316950828/1000</f>
        <v>115.905316950828</v>
      </c>
      <c r="I284" s="19">
        <f>K284</f>
        <v>72.554609999999997</v>
      </c>
      <c r="J284" s="9" t="s">
        <v>25</v>
      </c>
      <c r="K284" s="40">
        <f>72554.61/1000</f>
        <v>72.554609999999997</v>
      </c>
    </row>
    <row r="285" spans="1:11" s="32" customFormat="1" ht="48" customHeight="1" x14ac:dyDescent="0.25">
      <c r="A285" s="27"/>
      <c r="B285" s="177"/>
      <c r="C285" s="147" t="s">
        <v>37</v>
      </c>
      <c r="D285" s="185"/>
      <c r="E285" s="11" t="s">
        <v>25</v>
      </c>
      <c r="F285" s="12">
        <f t="shared" si="24"/>
        <v>-26.941724320040699</v>
      </c>
      <c r="G285" s="11" t="s">
        <v>25</v>
      </c>
      <c r="H285" s="23">
        <f>-26941.7243200407/1000</f>
        <v>-26.941724320040699</v>
      </c>
      <c r="I285" s="21">
        <f t="shared" ref="I285:I286" si="27">K285</f>
        <v>-106.81099</v>
      </c>
      <c r="J285" s="11" t="s">
        <v>25</v>
      </c>
      <c r="K285" s="89">
        <f>-106810.99/1000</f>
        <v>-106.81099</v>
      </c>
    </row>
    <row r="286" spans="1:11" s="32" customFormat="1" ht="48" customHeight="1" x14ac:dyDescent="0.25">
      <c r="A286" s="27"/>
      <c r="B286" s="177"/>
      <c r="C286" s="163" t="s">
        <v>38</v>
      </c>
      <c r="D286" s="164"/>
      <c r="E286" s="9" t="s">
        <v>25</v>
      </c>
      <c r="F286" s="10">
        <f t="shared" si="24"/>
        <v>-107.794776284614</v>
      </c>
      <c r="G286" s="9" t="s">
        <v>25</v>
      </c>
      <c r="H286" s="25">
        <f>-107794.776284614/1000</f>
        <v>-107.794776284614</v>
      </c>
      <c r="I286" s="19">
        <f t="shared" si="27"/>
        <v>-116.15196</v>
      </c>
      <c r="J286" s="9" t="s">
        <v>25</v>
      </c>
      <c r="K286" s="52">
        <f>-116151.96/1000</f>
        <v>-116.15196</v>
      </c>
    </row>
    <row r="287" spans="1:11" s="32" customFormat="1" ht="38.25" customHeight="1" x14ac:dyDescent="0.25">
      <c r="A287" s="27"/>
      <c r="B287" s="177"/>
      <c r="C287" s="163" t="s">
        <v>39</v>
      </c>
      <c r="D287" s="164"/>
      <c r="E287" s="9" t="s">
        <v>25</v>
      </c>
      <c r="F287" s="10">
        <f t="shared" si="24"/>
        <v>-118.30889099195501</v>
      </c>
      <c r="G287" s="9" t="s">
        <v>25</v>
      </c>
      <c r="H287" s="25">
        <f>-118308.890991955/1000</f>
        <v>-118.30889099195501</v>
      </c>
      <c r="I287" s="19">
        <f>K287</f>
        <v>-123.46875999999999</v>
      </c>
      <c r="J287" s="9" t="s">
        <v>25</v>
      </c>
      <c r="K287" s="52">
        <f>-123468.76/1000</f>
        <v>-123.46875999999999</v>
      </c>
    </row>
    <row r="288" spans="1:11" s="32" customFormat="1" ht="38.25" customHeight="1" thickBot="1" x14ac:dyDescent="0.3">
      <c r="A288" s="27"/>
      <c r="B288" s="193"/>
      <c r="C288" s="174" t="s">
        <v>99</v>
      </c>
      <c r="D288" s="175"/>
      <c r="E288" s="28" t="s">
        <v>25</v>
      </c>
      <c r="F288" s="29">
        <f t="shared" si="24"/>
        <v>-115.905316950828</v>
      </c>
      <c r="G288" s="28" t="s">
        <v>25</v>
      </c>
      <c r="H288" s="53">
        <f>-115905.316950828/1000</f>
        <v>-115.905316950828</v>
      </c>
      <c r="I288" s="30">
        <f>K288</f>
        <v>-72.554609999999997</v>
      </c>
      <c r="J288" s="28" t="s">
        <v>25</v>
      </c>
      <c r="K288" s="54">
        <f>-72554.61/1000</f>
        <v>-72.554609999999997</v>
      </c>
    </row>
    <row r="289" spans="1:11" s="32" customFormat="1" ht="37.5" customHeight="1" x14ac:dyDescent="0.25">
      <c r="A289" s="27"/>
      <c r="B289" s="177" t="s">
        <v>267</v>
      </c>
      <c r="C289" s="11" t="s">
        <v>79</v>
      </c>
      <c r="D289" s="96" t="s">
        <v>27</v>
      </c>
      <c r="E289" s="11" t="s">
        <v>25</v>
      </c>
      <c r="F289" s="12">
        <f t="shared" si="24"/>
        <v>1350.5</v>
      </c>
      <c r="G289" s="11" t="s">
        <v>80</v>
      </c>
      <c r="H289" s="64">
        <f>K289</f>
        <v>1350.5</v>
      </c>
      <c r="I289" s="21">
        <f t="shared" ref="I289:I295" si="28">K289</f>
        <v>1350.5</v>
      </c>
      <c r="J289" s="11" t="s">
        <v>81</v>
      </c>
      <c r="K289" s="99">
        <f>1350500/1000</f>
        <v>1350.5</v>
      </c>
    </row>
    <row r="290" spans="1:11" s="32" customFormat="1" ht="37.5" customHeight="1" x14ac:dyDescent="0.25">
      <c r="A290" s="27"/>
      <c r="B290" s="177"/>
      <c r="C290" s="147" t="s">
        <v>40</v>
      </c>
      <c r="D290" s="185"/>
      <c r="E290" s="11" t="s">
        <v>25</v>
      </c>
      <c r="F290" s="12">
        <f t="shared" si="24"/>
        <v>25.407730000000001</v>
      </c>
      <c r="G290" s="11" t="s">
        <v>25</v>
      </c>
      <c r="H290" s="12">
        <f>25407.73/1000</f>
        <v>25.407730000000001</v>
      </c>
      <c r="I290" s="21">
        <f t="shared" si="28"/>
        <v>81.256240000000005</v>
      </c>
      <c r="J290" s="11" t="s">
        <v>25</v>
      </c>
      <c r="K290" s="42">
        <f>81256.24/1000</f>
        <v>81.256240000000005</v>
      </c>
    </row>
    <row r="291" spans="1:11" s="32" customFormat="1" ht="37.5" customHeight="1" thickBot="1" x14ac:dyDescent="0.3">
      <c r="A291" s="27"/>
      <c r="B291" s="177"/>
      <c r="C291" s="146" t="s">
        <v>40</v>
      </c>
      <c r="D291" s="158"/>
      <c r="E291" s="100" t="s">
        <v>25</v>
      </c>
      <c r="F291" s="84">
        <f t="shared" si="24"/>
        <v>-25.407730000000001</v>
      </c>
      <c r="G291" s="100" t="s">
        <v>25</v>
      </c>
      <c r="H291" s="101">
        <f>-25407.73/1000</f>
        <v>-25.407730000000001</v>
      </c>
      <c r="I291" s="102">
        <f t="shared" si="28"/>
        <v>-81.256240000000005</v>
      </c>
      <c r="J291" s="100" t="s">
        <v>25</v>
      </c>
      <c r="K291" s="103">
        <f>-81256.24/1000</f>
        <v>-81.256240000000005</v>
      </c>
    </row>
    <row r="292" spans="1:11" s="32" customFormat="1" ht="42.75" customHeight="1" x14ac:dyDescent="0.25">
      <c r="A292" s="27"/>
      <c r="B292" s="176" t="s">
        <v>268</v>
      </c>
      <c r="C292" s="148" t="s">
        <v>79</v>
      </c>
      <c r="D292" s="196" t="s">
        <v>27</v>
      </c>
      <c r="E292" s="148" t="s">
        <v>25</v>
      </c>
      <c r="F292" s="151">
        <f>H292+H293</f>
        <v>500.92881</v>
      </c>
      <c r="G292" s="37" t="s">
        <v>80</v>
      </c>
      <c r="H292" s="90">
        <f>500928.81/1000</f>
        <v>500.92881</v>
      </c>
      <c r="I292" s="180">
        <f t="shared" si="28"/>
        <v>1057</v>
      </c>
      <c r="J292" s="148" t="s">
        <v>81</v>
      </c>
      <c r="K292" s="194">
        <f>1057000/1000</f>
        <v>1057</v>
      </c>
    </row>
    <row r="293" spans="1:11" s="32" customFormat="1" ht="37.5" customHeight="1" x14ac:dyDescent="0.25">
      <c r="A293" s="27"/>
      <c r="B293" s="177"/>
      <c r="C293" s="150"/>
      <c r="D293" s="185"/>
      <c r="E293" s="150"/>
      <c r="F293" s="153"/>
      <c r="G293" s="11" t="s">
        <v>25</v>
      </c>
      <c r="H293" s="64">
        <v>0</v>
      </c>
      <c r="I293" s="192"/>
      <c r="J293" s="150" t="s">
        <v>81</v>
      </c>
      <c r="K293" s="195"/>
    </row>
    <row r="294" spans="1:11" s="32" customFormat="1" ht="37.5" customHeight="1" x14ac:dyDescent="0.25">
      <c r="A294" s="27"/>
      <c r="B294" s="177"/>
      <c r="C294" s="147" t="s">
        <v>40</v>
      </c>
      <c r="D294" s="185"/>
      <c r="E294" s="11" t="s">
        <v>25</v>
      </c>
      <c r="F294" s="12">
        <f t="shared" ref="F294" si="29">H294</f>
        <v>22.811181338512402</v>
      </c>
      <c r="G294" s="11" t="s">
        <v>25</v>
      </c>
      <c r="H294" s="12">
        <f>22811.1813385124/1000</f>
        <v>22.811181338512402</v>
      </c>
      <c r="I294" s="21">
        <f t="shared" ref="I294" si="30">K294</f>
        <v>74.06129</v>
      </c>
      <c r="J294" s="11" t="s">
        <v>25</v>
      </c>
      <c r="K294" s="42">
        <v>74.06129</v>
      </c>
    </row>
    <row r="295" spans="1:11" s="32" customFormat="1" ht="37.5" customHeight="1" thickBot="1" x14ac:dyDescent="0.3">
      <c r="A295" s="27"/>
      <c r="B295" s="193"/>
      <c r="C295" s="169" t="s">
        <v>40</v>
      </c>
      <c r="D295" s="170"/>
      <c r="E295" s="44" t="s">
        <v>25</v>
      </c>
      <c r="F295" s="45">
        <f t="shared" si="24"/>
        <v>-22.811181338512402</v>
      </c>
      <c r="G295" s="44" t="s">
        <v>25</v>
      </c>
      <c r="H295" s="104">
        <f>-22811.1813385124/1000</f>
        <v>-22.811181338512402</v>
      </c>
      <c r="I295" s="46">
        <f t="shared" si="28"/>
        <v>-74.06129</v>
      </c>
      <c r="J295" s="44" t="s">
        <v>25</v>
      </c>
      <c r="K295" s="105">
        <v>-74.06129</v>
      </c>
    </row>
    <row r="296" spans="1:11" s="32" customFormat="1" ht="45" customHeight="1" x14ac:dyDescent="0.25">
      <c r="A296" s="27"/>
      <c r="B296" s="166" t="s">
        <v>269</v>
      </c>
      <c r="C296" s="11" t="s">
        <v>21</v>
      </c>
      <c r="D296" s="96" t="s">
        <v>22</v>
      </c>
      <c r="E296" s="12" t="s">
        <v>23</v>
      </c>
      <c r="F296" s="12">
        <f t="shared" si="24"/>
        <v>300</v>
      </c>
      <c r="G296" s="11" t="s">
        <v>270</v>
      </c>
      <c r="H296" s="12">
        <f>300000/1000</f>
        <v>300</v>
      </c>
      <c r="I296" s="21">
        <f t="shared" si="25"/>
        <v>0</v>
      </c>
      <c r="J296" s="11" t="s">
        <v>25</v>
      </c>
      <c r="K296" s="18">
        <v>0</v>
      </c>
    </row>
    <row r="297" spans="1:11" s="32" customFormat="1" ht="30" x14ac:dyDescent="0.25">
      <c r="A297" s="27"/>
      <c r="B297" s="166"/>
      <c r="C297" s="156" t="s">
        <v>103</v>
      </c>
      <c r="D297" s="157" t="s">
        <v>271</v>
      </c>
      <c r="E297" s="159">
        <f>13044711.21/1000</f>
        <v>13044.711210000001</v>
      </c>
      <c r="F297" s="159">
        <f>H297+H298+H299+H300+H301</f>
        <v>9768.7071800000012</v>
      </c>
      <c r="G297" s="9" t="s">
        <v>272</v>
      </c>
      <c r="H297" s="10">
        <f>329862.89/1000</f>
        <v>329.86288999999999</v>
      </c>
      <c r="I297" s="160">
        <f>K297+K299+K300</f>
        <v>0</v>
      </c>
      <c r="J297" s="9" t="s">
        <v>25</v>
      </c>
      <c r="K297" s="15">
        <v>0</v>
      </c>
    </row>
    <row r="298" spans="1:11" s="32" customFormat="1" ht="30" x14ac:dyDescent="0.25">
      <c r="A298" s="27"/>
      <c r="B298" s="166"/>
      <c r="C298" s="156"/>
      <c r="D298" s="158"/>
      <c r="E298" s="152"/>
      <c r="F298" s="152"/>
      <c r="G298" s="11" t="s">
        <v>273</v>
      </c>
      <c r="H298" s="12">
        <f>4059322.16/1000</f>
        <v>4059.3221600000002</v>
      </c>
      <c r="I298" s="160"/>
      <c r="J298" s="9" t="s">
        <v>25</v>
      </c>
      <c r="K298" s="18">
        <v>0</v>
      </c>
    </row>
    <row r="299" spans="1:11" ht="30" x14ac:dyDescent="0.25">
      <c r="B299" s="166"/>
      <c r="C299" s="156"/>
      <c r="D299" s="158"/>
      <c r="E299" s="152"/>
      <c r="F299" s="152"/>
      <c r="G299" s="11" t="s">
        <v>274</v>
      </c>
      <c r="H299" s="12">
        <f>1127100.98/1000</f>
        <v>1127.1009799999999</v>
      </c>
      <c r="I299" s="160"/>
      <c r="J299" s="9" t="s">
        <v>25</v>
      </c>
      <c r="K299" s="18">
        <v>0</v>
      </c>
    </row>
    <row r="300" spans="1:11" ht="30" x14ac:dyDescent="0.25">
      <c r="B300" s="166"/>
      <c r="C300" s="156"/>
      <c r="D300" s="158"/>
      <c r="E300" s="152"/>
      <c r="F300" s="152"/>
      <c r="G300" s="11" t="s">
        <v>275</v>
      </c>
      <c r="H300" s="12">
        <f>1590556.58/1000</f>
        <v>1590.5565800000002</v>
      </c>
      <c r="I300" s="160"/>
      <c r="J300" s="9" t="s">
        <v>25</v>
      </c>
      <c r="K300" s="18">
        <v>0</v>
      </c>
    </row>
    <row r="301" spans="1:11" ht="30" x14ac:dyDescent="0.25">
      <c r="B301" s="166"/>
      <c r="C301" s="156"/>
      <c r="D301" s="158"/>
      <c r="E301" s="152"/>
      <c r="F301" s="152"/>
      <c r="G301" s="11" t="s">
        <v>276</v>
      </c>
      <c r="H301" s="12">
        <f>2661864.57/1000</f>
        <v>2661.8645699999997</v>
      </c>
      <c r="I301" s="160"/>
      <c r="J301" s="9" t="s">
        <v>25</v>
      </c>
      <c r="K301" s="18">
        <v>0</v>
      </c>
    </row>
    <row r="302" spans="1:11" hidden="1" x14ac:dyDescent="0.25">
      <c r="B302" s="166"/>
      <c r="C302" s="156"/>
      <c r="D302" s="158"/>
      <c r="E302" s="152"/>
      <c r="F302" s="152"/>
      <c r="G302" s="11"/>
      <c r="H302" s="12"/>
      <c r="I302" s="160"/>
      <c r="J302" s="12"/>
      <c r="K302" s="18"/>
    </row>
    <row r="303" spans="1:11" hidden="1" x14ac:dyDescent="0.25">
      <c r="B303" s="166"/>
      <c r="C303" s="156"/>
      <c r="D303" s="158"/>
      <c r="E303" s="152"/>
      <c r="F303" s="152"/>
      <c r="G303" s="11"/>
      <c r="H303" s="12"/>
      <c r="I303" s="160"/>
      <c r="J303" s="12"/>
      <c r="K303" s="18"/>
    </row>
    <row r="304" spans="1:11" ht="31.5" hidden="1" customHeight="1" x14ac:dyDescent="0.25">
      <c r="B304" s="166"/>
      <c r="C304" s="156"/>
      <c r="D304" s="185"/>
      <c r="E304" s="153"/>
      <c r="F304" s="153"/>
      <c r="G304" s="11"/>
      <c r="H304" s="12"/>
      <c r="I304" s="160"/>
      <c r="J304" s="12"/>
      <c r="K304" s="18"/>
    </row>
    <row r="305" spans="1:11" ht="32.25" customHeight="1" x14ac:dyDescent="0.25">
      <c r="B305" s="166"/>
      <c r="C305" s="163" t="s">
        <v>35</v>
      </c>
      <c r="D305" s="164"/>
      <c r="E305" s="9" t="s">
        <v>25</v>
      </c>
      <c r="F305" s="10">
        <f t="shared" ref="F305:F306" si="31">H305</f>
        <v>144.03385832828801</v>
      </c>
      <c r="G305" s="11" t="s">
        <v>25</v>
      </c>
      <c r="H305" s="12">
        <f>144033.858328288/1000</f>
        <v>144.03385832828801</v>
      </c>
      <c r="I305" s="10">
        <f>K305</f>
        <v>0</v>
      </c>
      <c r="J305" s="11" t="s">
        <v>25</v>
      </c>
      <c r="K305" s="18">
        <v>0</v>
      </c>
    </row>
    <row r="306" spans="1:11" ht="32.25" customHeight="1" thickBot="1" x14ac:dyDescent="0.3">
      <c r="B306" s="166"/>
      <c r="C306" s="163" t="s">
        <v>35</v>
      </c>
      <c r="D306" s="164"/>
      <c r="E306" s="9" t="s">
        <v>25</v>
      </c>
      <c r="F306" s="12">
        <f t="shared" si="31"/>
        <v>-144.03385832828801</v>
      </c>
      <c r="G306" s="11" t="s">
        <v>25</v>
      </c>
      <c r="H306" s="23">
        <f>-144033.858328288/1000</f>
        <v>-144.03385832828801</v>
      </c>
      <c r="I306" s="12">
        <f>K306</f>
        <v>0</v>
      </c>
      <c r="J306" s="11" t="s">
        <v>25</v>
      </c>
      <c r="K306" s="24">
        <v>0</v>
      </c>
    </row>
    <row r="307" spans="1:11" ht="46.5" customHeight="1" x14ac:dyDescent="0.25">
      <c r="B307" s="165" t="s">
        <v>277</v>
      </c>
      <c r="C307" s="148" t="s">
        <v>224</v>
      </c>
      <c r="D307" s="148" t="s">
        <v>278</v>
      </c>
      <c r="E307" s="151">
        <f>12730535.39/1000</f>
        <v>12730.535390000001</v>
      </c>
      <c r="F307" s="151">
        <f>H307</f>
        <v>0</v>
      </c>
      <c r="G307" s="37" t="s">
        <v>25</v>
      </c>
      <c r="H307" s="38">
        <v>0</v>
      </c>
      <c r="I307" s="151">
        <f>K307+K308</f>
        <v>10910.709024399999</v>
      </c>
      <c r="J307" s="38" t="s">
        <v>279</v>
      </c>
      <c r="K307" s="39">
        <v>4598.3872057999997</v>
      </c>
    </row>
    <row r="308" spans="1:11" ht="48.75" customHeight="1" thickBot="1" x14ac:dyDescent="0.3">
      <c r="B308" s="168"/>
      <c r="C308" s="178"/>
      <c r="D308" s="178"/>
      <c r="E308" s="179"/>
      <c r="F308" s="179"/>
      <c r="G308" s="11" t="s">
        <v>25</v>
      </c>
      <c r="H308" s="12">
        <v>0</v>
      </c>
      <c r="I308" s="179"/>
      <c r="J308" s="12" t="s">
        <v>280</v>
      </c>
      <c r="K308" s="18">
        <v>6312.3218186000004</v>
      </c>
    </row>
    <row r="309" spans="1:11" ht="30" customHeight="1" thickBot="1" x14ac:dyDescent="0.3">
      <c r="B309" s="106" t="s">
        <v>281</v>
      </c>
      <c r="C309" s="59" t="s">
        <v>282</v>
      </c>
      <c r="D309" s="107" t="s">
        <v>283</v>
      </c>
      <c r="E309" s="60">
        <v>2639</v>
      </c>
      <c r="F309" s="60">
        <f>H309</f>
        <v>2639</v>
      </c>
      <c r="G309" s="59" t="s">
        <v>284</v>
      </c>
      <c r="H309" s="60">
        <f>2639000/1000</f>
        <v>2639</v>
      </c>
      <c r="I309" s="60">
        <f>K309</f>
        <v>2639</v>
      </c>
      <c r="J309" s="60" t="s">
        <v>285</v>
      </c>
      <c r="K309" s="108">
        <f>2639000/1000</f>
        <v>2639</v>
      </c>
    </row>
    <row r="310" spans="1:11" ht="39" customHeight="1" thickBot="1" x14ac:dyDescent="0.3">
      <c r="B310" s="106" t="s">
        <v>286</v>
      </c>
      <c r="C310" s="59" t="s">
        <v>26</v>
      </c>
      <c r="D310" s="107" t="s">
        <v>27</v>
      </c>
      <c r="E310" s="60" t="s">
        <v>25</v>
      </c>
      <c r="F310" s="60">
        <f>H310</f>
        <v>218.05027999999999</v>
      </c>
      <c r="G310" s="59" t="s">
        <v>80</v>
      </c>
      <c r="H310" s="60">
        <f>218050.28/1000</f>
        <v>218.05027999999999</v>
      </c>
      <c r="I310" s="60">
        <f>K310</f>
        <v>218.05030020000001</v>
      </c>
      <c r="J310" s="115" t="s">
        <v>81</v>
      </c>
      <c r="K310" s="116">
        <f>(60980.17+123808.22)*1.18/1000</f>
        <v>218.05030020000001</v>
      </c>
    </row>
    <row r="311" spans="1:11" s="32" customFormat="1" ht="30" hidden="1" customHeight="1" x14ac:dyDescent="0.25">
      <c r="A311" s="27"/>
      <c r="B311" s="165" t="s">
        <v>287</v>
      </c>
      <c r="C311" s="37" t="s">
        <v>48</v>
      </c>
      <c r="D311" s="37" t="s">
        <v>288</v>
      </c>
      <c r="E311" s="109">
        <f>4150000/1000</f>
        <v>4150</v>
      </c>
      <c r="F311" s="50">
        <f>H311</f>
        <v>0</v>
      </c>
      <c r="G311" s="37"/>
      <c r="H311" s="38"/>
      <c r="I311" s="110">
        <f t="shared" ref="I311:I313" si="32">K311</f>
        <v>0</v>
      </c>
      <c r="J311" s="37"/>
      <c r="K311" s="51"/>
    </row>
    <row r="312" spans="1:11" s="32" customFormat="1" ht="37.5" customHeight="1" x14ac:dyDescent="0.25">
      <c r="A312" s="27"/>
      <c r="B312" s="166"/>
      <c r="C312" s="147" t="s">
        <v>50</v>
      </c>
      <c r="D312" s="185"/>
      <c r="E312" s="11" t="s">
        <v>25</v>
      </c>
      <c r="F312" s="12">
        <f t="shared" ref="F312:F313" si="33">H312</f>
        <v>22.43168</v>
      </c>
      <c r="G312" s="11" t="s">
        <v>25</v>
      </c>
      <c r="H312" s="12">
        <f>K312</f>
        <v>22.43168</v>
      </c>
      <c r="I312" s="21">
        <f t="shared" si="32"/>
        <v>22.43168</v>
      </c>
      <c r="J312" s="11" t="s">
        <v>25</v>
      </c>
      <c r="K312" s="42">
        <f>22431.68/1000</f>
        <v>22.43168</v>
      </c>
    </row>
    <row r="313" spans="1:11" s="32" customFormat="1" ht="37.5" customHeight="1" thickBot="1" x14ac:dyDescent="0.3">
      <c r="A313" s="27"/>
      <c r="B313" s="168"/>
      <c r="C313" s="169" t="s">
        <v>51</v>
      </c>
      <c r="D313" s="170"/>
      <c r="E313" s="44" t="s">
        <v>25</v>
      </c>
      <c r="F313" s="45">
        <f t="shared" si="33"/>
        <v>11.21584</v>
      </c>
      <c r="G313" s="44" t="s">
        <v>25</v>
      </c>
      <c r="H313" s="45">
        <f>K313</f>
        <v>11.21584</v>
      </c>
      <c r="I313" s="46">
        <f t="shared" si="32"/>
        <v>11.21584</v>
      </c>
      <c r="J313" s="44" t="s">
        <v>25</v>
      </c>
      <c r="K313" s="47">
        <f>11215.84/1000</f>
        <v>11.21584</v>
      </c>
    </row>
    <row r="314" spans="1:11" s="32" customFormat="1" ht="60.75" hidden="1" customHeight="1" x14ac:dyDescent="0.25">
      <c r="A314" s="27"/>
      <c r="B314" s="165" t="s">
        <v>289</v>
      </c>
      <c r="C314" s="37" t="s">
        <v>290</v>
      </c>
      <c r="D314" s="37" t="s">
        <v>291</v>
      </c>
      <c r="E314" s="38">
        <v>81.283539999999988</v>
      </c>
      <c r="F314" s="38">
        <f>H314</f>
        <v>0</v>
      </c>
      <c r="G314" s="37"/>
      <c r="H314" s="38"/>
      <c r="I314" s="38" t="s">
        <v>25</v>
      </c>
      <c r="J314" s="37"/>
      <c r="K314" s="39"/>
    </row>
    <row r="315" spans="1:11" s="32" customFormat="1" ht="45" customHeight="1" x14ac:dyDescent="0.25">
      <c r="A315" s="27"/>
      <c r="B315" s="197"/>
      <c r="C315" s="9" t="s">
        <v>64</v>
      </c>
      <c r="D315" s="9" t="s">
        <v>292</v>
      </c>
      <c r="E315" s="10" t="str">
        <f>G315</f>
        <v>№2532 от 19.05.2016</v>
      </c>
      <c r="F315" s="10">
        <f>H315</f>
        <v>258</v>
      </c>
      <c r="G315" s="12" t="s">
        <v>293</v>
      </c>
      <c r="H315" s="12">
        <f>258000/1000</f>
        <v>258</v>
      </c>
      <c r="I315" s="10">
        <f>K315</f>
        <v>258</v>
      </c>
      <c r="J315" s="12" t="s">
        <v>294</v>
      </c>
      <c r="K315" s="18">
        <f>258000/1000</f>
        <v>258</v>
      </c>
    </row>
    <row r="316" spans="1:11" s="32" customFormat="1" ht="30" hidden="1" x14ac:dyDescent="0.25">
      <c r="A316" s="27"/>
      <c r="B316" s="166" t="s">
        <v>295</v>
      </c>
      <c r="C316" s="11" t="s">
        <v>26</v>
      </c>
      <c r="D316" s="11" t="s">
        <v>27</v>
      </c>
      <c r="E316" s="12" t="s">
        <v>25</v>
      </c>
      <c r="F316" s="12">
        <f>H316</f>
        <v>0</v>
      </c>
      <c r="G316" s="12"/>
      <c r="H316" s="12"/>
      <c r="I316" s="83">
        <f>K316</f>
        <v>0</v>
      </c>
      <c r="J316" s="100"/>
      <c r="K316" s="111"/>
    </row>
    <row r="317" spans="1:11" s="32" customFormat="1" ht="46.5" customHeight="1" thickBot="1" x14ac:dyDescent="0.3">
      <c r="A317" s="27"/>
      <c r="B317" s="166"/>
      <c r="C317" s="9" t="s">
        <v>296</v>
      </c>
      <c r="D317" s="96" t="s">
        <v>297</v>
      </c>
      <c r="E317" s="12">
        <f>155000/1000</f>
        <v>155</v>
      </c>
      <c r="F317" s="10">
        <f>H317</f>
        <v>155</v>
      </c>
      <c r="G317" s="10" t="s">
        <v>298</v>
      </c>
      <c r="H317" s="12">
        <f>155000/1000</f>
        <v>155</v>
      </c>
      <c r="I317" s="19">
        <f>K317</f>
        <v>155</v>
      </c>
      <c r="J317" s="12" t="s">
        <v>299</v>
      </c>
      <c r="K317" s="18">
        <f>155000/1000</f>
        <v>155</v>
      </c>
    </row>
    <row r="318" spans="1:11" s="32" customFormat="1" ht="16.5" customHeight="1" thickBot="1" x14ac:dyDescent="0.3">
      <c r="A318" s="27"/>
      <c r="B318" s="71" t="s">
        <v>300</v>
      </c>
      <c r="C318" s="72"/>
      <c r="D318" s="72"/>
      <c r="E318" s="72"/>
      <c r="F318" s="73">
        <f>SUM(F122:F317)</f>
        <v>145627.40249960002</v>
      </c>
      <c r="G318" s="60"/>
      <c r="H318" s="73">
        <f>SUM(H122:H317)</f>
        <v>145627.40249960002</v>
      </c>
      <c r="I318" s="73">
        <f>SUM(I122:I317)</f>
        <v>78773.630648200007</v>
      </c>
      <c r="J318" s="60"/>
      <c r="K318" s="74">
        <f>SUM(K122:K317)</f>
        <v>78773.630648200022</v>
      </c>
    </row>
    <row r="319" spans="1:11" s="32" customFormat="1" ht="36.75" customHeight="1" thickBot="1" x14ac:dyDescent="0.3">
      <c r="A319" s="27"/>
      <c r="B319" s="71" t="s">
        <v>301</v>
      </c>
      <c r="C319" s="72"/>
      <c r="D319" s="72"/>
      <c r="E319" s="72"/>
      <c r="F319" s="73">
        <f>H319</f>
        <v>17772.782999999999</v>
      </c>
      <c r="G319" s="59"/>
      <c r="H319" s="73">
        <f>K319</f>
        <v>17772.782999999999</v>
      </c>
      <c r="I319" s="73">
        <f>K319</f>
        <v>17772.782999999999</v>
      </c>
      <c r="J319" s="60"/>
      <c r="K319" s="74">
        <v>17772.782999999999</v>
      </c>
    </row>
    <row r="320" spans="1:11" s="32" customFormat="1" ht="32.25" thickBot="1" x14ac:dyDescent="0.3">
      <c r="A320" s="27"/>
      <c r="B320" s="71" t="s">
        <v>302</v>
      </c>
      <c r="C320" s="72"/>
      <c r="D320" s="72"/>
      <c r="E320" s="72"/>
      <c r="F320" s="73">
        <f>F318+F319</f>
        <v>163400.18549960002</v>
      </c>
      <c r="G320" s="59"/>
      <c r="H320" s="73">
        <f t="shared" ref="H320:I320" si="34">H318+H319</f>
        <v>163400.18549960002</v>
      </c>
      <c r="I320" s="73">
        <f t="shared" si="34"/>
        <v>96546.413648200003</v>
      </c>
      <c r="J320" s="60"/>
      <c r="K320" s="74">
        <f>K318+K319</f>
        <v>96546.413648200018</v>
      </c>
    </row>
    <row r="321" spans="1:11" s="32" customFormat="1" ht="48" thickBot="1" x14ac:dyDescent="0.3">
      <c r="A321" s="27"/>
      <c r="B321" s="71" t="s">
        <v>303</v>
      </c>
      <c r="C321" s="72"/>
      <c r="D321" s="72"/>
      <c r="E321" s="72"/>
      <c r="F321" s="73">
        <f>F120+F320</f>
        <v>198722.19165008891</v>
      </c>
      <c r="G321" s="60"/>
      <c r="H321" s="73">
        <f>H120+H320</f>
        <v>198722.19165008891</v>
      </c>
      <c r="I321" s="73">
        <f>I120+I320</f>
        <v>114758.11297248889</v>
      </c>
      <c r="J321" s="60"/>
      <c r="K321" s="74">
        <f>K120+K320</f>
        <v>114758.1129724889</v>
      </c>
    </row>
    <row r="322" spans="1:11" s="32" customFormat="1" x14ac:dyDescent="0.25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</row>
    <row r="324" spans="1:11" customFormat="1" ht="15.75" x14ac:dyDescent="0.25">
      <c r="A324" s="117"/>
      <c r="B324" s="198" t="s">
        <v>308</v>
      </c>
      <c r="C324" s="201"/>
      <c r="D324" s="201"/>
      <c r="E324" s="118"/>
      <c r="F324" s="117"/>
      <c r="G324" s="117"/>
      <c r="H324" s="117"/>
      <c r="I324" s="117"/>
      <c r="J324" s="117"/>
      <c r="K324" s="117"/>
    </row>
    <row r="325" spans="1:11" customFormat="1" ht="19.5" customHeight="1" x14ac:dyDescent="0.25">
      <c r="A325" s="117"/>
      <c r="B325" s="202" t="s">
        <v>309</v>
      </c>
      <c r="C325" s="202"/>
      <c r="D325" s="202"/>
      <c r="E325" s="202"/>
      <c r="F325" s="117"/>
      <c r="G325" s="117"/>
      <c r="H325" s="117"/>
      <c r="I325" s="117"/>
      <c r="J325" s="117"/>
      <c r="K325" s="117"/>
    </row>
    <row r="326" spans="1:11" customFormat="1" ht="20.25" customHeight="1" thickBot="1" x14ac:dyDescent="0.3">
      <c r="A326" s="117"/>
      <c r="B326" s="203" t="s">
        <v>327</v>
      </c>
      <c r="C326" s="203"/>
      <c r="D326" s="120"/>
      <c r="E326" s="120"/>
      <c r="F326" s="117"/>
      <c r="G326" s="117"/>
      <c r="H326" s="117"/>
      <c r="I326" s="117"/>
      <c r="J326" s="117"/>
      <c r="K326" s="117"/>
    </row>
    <row r="327" spans="1:11" customFormat="1" ht="32.25" thickBot="1" x14ac:dyDescent="0.3">
      <c r="A327" s="117"/>
      <c r="B327" s="204" t="s">
        <v>310</v>
      </c>
      <c r="C327" s="205"/>
      <c r="D327" s="119" t="s">
        <v>311</v>
      </c>
      <c r="E327" s="119" t="s">
        <v>312</v>
      </c>
      <c r="F327" s="117"/>
      <c r="G327" s="117"/>
      <c r="H327" s="117"/>
      <c r="I327" s="117"/>
      <c r="J327" s="117"/>
      <c r="K327" s="117"/>
    </row>
    <row r="328" spans="1:11" customFormat="1" ht="30" customHeight="1" thickBot="1" x14ac:dyDescent="0.3">
      <c r="A328" s="117"/>
      <c r="B328" s="206" t="s">
        <v>313</v>
      </c>
      <c r="C328" s="207"/>
      <c r="D328" s="199">
        <v>114758.11</v>
      </c>
      <c r="E328" s="199">
        <v>198722.19</v>
      </c>
      <c r="F328" s="117"/>
      <c r="G328" s="117"/>
      <c r="H328" s="117"/>
      <c r="I328" s="117"/>
      <c r="J328" s="117"/>
      <c r="K328" s="117"/>
    </row>
    <row r="329" spans="1:11" customFormat="1" ht="30.75" customHeight="1" thickBot="1" x14ac:dyDescent="0.3">
      <c r="A329" s="117"/>
      <c r="B329" s="206" t="s">
        <v>314</v>
      </c>
      <c r="C329" s="207"/>
      <c r="D329" s="199">
        <v>269507.49</v>
      </c>
      <c r="E329" s="199">
        <v>269507.49</v>
      </c>
      <c r="F329" s="117"/>
      <c r="G329" s="117"/>
      <c r="H329" s="117"/>
      <c r="I329" s="117"/>
      <c r="J329" s="117"/>
      <c r="K329" s="117"/>
    </row>
    <row r="330" spans="1:11" customFormat="1" ht="17.25" customHeight="1" thickBot="1" x14ac:dyDescent="0.3">
      <c r="A330" s="117"/>
      <c r="B330" s="206" t="s">
        <v>315</v>
      </c>
      <c r="C330" s="207"/>
      <c r="D330" s="199">
        <v>111055.55</v>
      </c>
      <c r="E330" s="199">
        <v>111055.55</v>
      </c>
      <c r="F330" s="117"/>
      <c r="G330" s="117"/>
      <c r="H330" s="117"/>
      <c r="I330" s="117"/>
      <c r="J330" s="117"/>
      <c r="K330" s="117"/>
    </row>
    <row r="331" spans="1:11" customFormat="1" ht="30" customHeight="1" thickBot="1" x14ac:dyDescent="0.3">
      <c r="A331" s="117"/>
      <c r="B331" s="206" t="s">
        <v>316</v>
      </c>
      <c r="C331" s="207"/>
      <c r="D331" s="200">
        <v>0</v>
      </c>
      <c r="E331" s="200">
        <v>0</v>
      </c>
      <c r="F331" s="117"/>
      <c r="G331" s="117"/>
      <c r="H331" s="117"/>
      <c r="I331" s="117"/>
      <c r="J331" s="117"/>
      <c r="K331" s="117"/>
    </row>
    <row r="332" spans="1:11" customFormat="1" ht="15.75" thickBot="1" x14ac:dyDescent="0.3">
      <c r="A332" s="117"/>
      <c r="B332" s="206" t="s">
        <v>317</v>
      </c>
      <c r="C332" s="207"/>
      <c r="D332" s="199">
        <v>87360.7</v>
      </c>
      <c r="E332" s="199">
        <v>86500.45</v>
      </c>
      <c r="F332" s="117"/>
      <c r="G332" s="117"/>
      <c r="H332" s="117"/>
      <c r="I332" s="117"/>
      <c r="J332" s="117"/>
      <c r="K332" s="117"/>
    </row>
    <row r="333" spans="1:11" customFormat="1" ht="15.75" thickBot="1" x14ac:dyDescent="0.3">
      <c r="A333" s="117"/>
      <c r="B333" s="208" t="s">
        <v>318</v>
      </c>
      <c r="C333" s="209"/>
      <c r="D333" s="122">
        <v>6285.23</v>
      </c>
      <c r="E333" s="122">
        <v>4995.26</v>
      </c>
      <c r="F333" s="117"/>
      <c r="G333" s="117"/>
      <c r="H333" s="117"/>
      <c r="I333" s="117"/>
      <c r="J333" s="117"/>
      <c r="K333" s="117"/>
    </row>
    <row r="334" spans="1:11" customFormat="1" ht="15.75" thickBot="1" x14ac:dyDescent="0.3">
      <c r="A334" s="117"/>
      <c r="B334" s="208" t="s">
        <v>319</v>
      </c>
      <c r="C334" s="209"/>
      <c r="D334" s="121" t="s">
        <v>320</v>
      </c>
      <c r="E334" s="122">
        <v>77285.600000000006</v>
      </c>
      <c r="F334" s="117"/>
      <c r="G334" s="117"/>
      <c r="H334" s="117"/>
      <c r="I334" s="117"/>
      <c r="J334" s="117"/>
      <c r="K334" s="117"/>
    </row>
    <row r="335" spans="1:11" customFormat="1" ht="30" customHeight="1" thickBot="1" x14ac:dyDescent="0.3">
      <c r="A335" s="117"/>
      <c r="B335" s="208" t="s">
        <v>321</v>
      </c>
      <c r="C335" s="209"/>
      <c r="D335" s="121" t="s">
        <v>322</v>
      </c>
      <c r="E335" s="122">
        <v>4219.59</v>
      </c>
      <c r="F335" s="117"/>
      <c r="G335" s="117"/>
      <c r="H335" s="117"/>
      <c r="I335" s="117"/>
      <c r="J335" s="117"/>
      <c r="K335" s="117"/>
    </row>
    <row r="336" spans="1:11" customFormat="1" ht="76.5" customHeight="1" thickBot="1" x14ac:dyDescent="0.3">
      <c r="A336" s="117"/>
      <c r="B336" s="206" t="s">
        <v>329</v>
      </c>
      <c r="C336" s="207"/>
      <c r="D336" s="199">
        <v>273209.78000000003</v>
      </c>
      <c r="E336" s="199">
        <v>265013.49</v>
      </c>
      <c r="F336" s="117"/>
      <c r="G336" s="117"/>
      <c r="H336" s="117"/>
      <c r="I336" s="117"/>
      <c r="J336" s="117"/>
      <c r="K336" s="117"/>
    </row>
    <row r="337" spans="1:11" customFormat="1" ht="45" customHeight="1" thickBot="1" x14ac:dyDescent="0.3">
      <c r="A337" s="117"/>
      <c r="B337" s="210" t="s">
        <v>328</v>
      </c>
      <c r="C337" s="211"/>
      <c r="D337" s="123">
        <v>-112347</v>
      </c>
      <c r="E337" s="123">
        <v>-109680</v>
      </c>
      <c r="F337" s="117"/>
      <c r="G337" s="117"/>
      <c r="H337" s="117"/>
      <c r="I337" s="117"/>
      <c r="J337" s="117"/>
      <c r="K337" s="117"/>
    </row>
    <row r="338" spans="1:11" customFormat="1" ht="15.75" thickBot="1" x14ac:dyDescent="0.3">
      <c r="A338" s="117"/>
      <c r="B338" s="206" t="s">
        <v>323</v>
      </c>
      <c r="C338" s="207"/>
      <c r="D338" s="199">
        <v>25804.240000000002</v>
      </c>
      <c r="E338" s="199">
        <v>27195.58</v>
      </c>
      <c r="F338" s="117"/>
      <c r="G338" s="117"/>
      <c r="H338" s="117"/>
      <c r="I338" s="117"/>
      <c r="J338" s="117"/>
      <c r="K338" s="117"/>
    </row>
    <row r="339" spans="1:11" customFormat="1" ht="15.75" thickBot="1" x14ac:dyDescent="0.3">
      <c r="A339" s="117"/>
      <c r="B339" s="206" t="s">
        <v>324</v>
      </c>
      <c r="C339" s="207"/>
      <c r="D339" s="199">
        <v>-27303.77</v>
      </c>
      <c r="E339" s="199">
        <v>-13931.3</v>
      </c>
      <c r="F339" s="117"/>
      <c r="G339" s="117"/>
      <c r="H339" s="117"/>
      <c r="I339" s="117"/>
      <c r="J339" s="117"/>
      <c r="K339" s="117"/>
    </row>
    <row r="340" spans="1:11" customFormat="1" ht="34.5" customHeight="1" thickBot="1" x14ac:dyDescent="0.3">
      <c r="A340" s="117"/>
      <c r="B340" s="206" t="s">
        <v>325</v>
      </c>
      <c r="C340" s="207"/>
      <c r="D340" s="199">
        <v>14372.3</v>
      </c>
      <c r="E340" s="199">
        <v>23887.66</v>
      </c>
      <c r="F340" s="117"/>
      <c r="G340" s="117"/>
      <c r="H340" s="117"/>
      <c r="I340" s="117"/>
      <c r="J340" s="117"/>
      <c r="K340" s="117"/>
    </row>
    <row r="341" spans="1:11" customFormat="1" ht="15.75" thickBot="1" x14ac:dyDescent="0.3">
      <c r="A341" s="117"/>
      <c r="B341" s="206" t="s">
        <v>326</v>
      </c>
      <c r="C341" s="207"/>
      <c r="D341" s="199">
        <v>41676.07</v>
      </c>
      <c r="E341" s="199">
        <v>37818.959999999999</v>
      </c>
      <c r="F341" s="117"/>
      <c r="G341" s="117"/>
      <c r="H341" s="117"/>
      <c r="I341" s="117"/>
      <c r="J341" s="117"/>
      <c r="K341" s="117"/>
    </row>
    <row r="345" spans="1:11" ht="18" x14ac:dyDescent="0.25">
      <c r="B345" s="112" t="s">
        <v>304</v>
      </c>
      <c r="C345" s="113"/>
      <c r="D345" s="114" t="s">
        <v>305</v>
      </c>
    </row>
    <row r="346" spans="1:11" ht="18" x14ac:dyDescent="0.25">
      <c r="B346" s="114"/>
      <c r="C346" s="114"/>
      <c r="D346" s="114"/>
    </row>
    <row r="347" spans="1:11" ht="18" x14ac:dyDescent="0.25">
      <c r="B347" s="114" t="s">
        <v>306</v>
      </c>
      <c r="C347" s="114"/>
      <c r="D347" s="114" t="s">
        <v>307</v>
      </c>
    </row>
  </sheetData>
  <mergeCells count="301">
    <mergeCell ref="B335:C335"/>
    <mergeCell ref="B336:C336"/>
    <mergeCell ref="B337:C337"/>
    <mergeCell ref="B338:C338"/>
    <mergeCell ref="B339:C339"/>
    <mergeCell ref="B340:C340"/>
    <mergeCell ref="B341:C341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11:B313"/>
    <mergeCell ref="C312:D312"/>
    <mergeCell ref="C313:D313"/>
    <mergeCell ref="B314:B315"/>
    <mergeCell ref="B316:B317"/>
    <mergeCell ref="B307:B308"/>
    <mergeCell ref="C307:C308"/>
    <mergeCell ref="D307:D308"/>
    <mergeCell ref="C324:D324"/>
    <mergeCell ref="B325:E325"/>
    <mergeCell ref="E307:E308"/>
    <mergeCell ref="F307:F308"/>
    <mergeCell ref="I307:I308"/>
    <mergeCell ref="B296:B306"/>
    <mergeCell ref="C297:C304"/>
    <mergeCell ref="D297:D304"/>
    <mergeCell ref="E297:E304"/>
    <mergeCell ref="F297:F304"/>
    <mergeCell ref="I297:I304"/>
    <mergeCell ref="C305:D305"/>
    <mergeCell ref="C306:D306"/>
    <mergeCell ref="E292:E293"/>
    <mergeCell ref="F292:F293"/>
    <mergeCell ref="I292:I293"/>
    <mergeCell ref="J292:J293"/>
    <mergeCell ref="K292:K293"/>
    <mergeCell ref="C294:D294"/>
    <mergeCell ref="B289:B291"/>
    <mergeCell ref="C290:D290"/>
    <mergeCell ref="C291:D291"/>
    <mergeCell ref="B292:B295"/>
    <mergeCell ref="C292:C293"/>
    <mergeCell ref="D292:D293"/>
    <mergeCell ref="C295:D295"/>
    <mergeCell ref="B276:B288"/>
    <mergeCell ref="C277:D277"/>
    <mergeCell ref="C281:D281"/>
    <mergeCell ref="C282:D282"/>
    <mergeCell ref="C283:D283"/>
    <mergeCell ref="C284:D284"/>
    <mergeCell ref="C285:D285"/>
    <mergeCell ref="C286:D286"/>
    <mergeCell ref="C287:D287"/>
    <mergeCell ref="C288:D288"/>
    <mergeCell ref="B270:B275"/>
    <mergeCell ref="C272:C273"/>
    <mergeCell ref="D272:D273"/>
    <mergeCell ref="E272:E273"/>
    <mergeCell ref="F272:F273"/>
    <mergeCell ref="I272:I273"/>
    <mergeCell ref="C274:D274"/>
    <mergeCell ref="C275:D275"/>
    <mergeCell ref="C264:D264"/>
    <mergeCell ref="C265:D265"/>
    <mergeCell ref="C266:D266"/>
    <mergeCell ref="C267:D267"/>
    <mergeCell ref="C268:D268"/>
    <mergeCell ref="C269:D269"/>
    <mergeCell ref="F236:F252"/>
    <mergeCell ref="I236:I252"/>
    <mergeCell ref="C256:D256"/>
    <mergeCell ref="C257:D257"/>
    <mergeCell ref="C258:D258"/>
    <mergeCell ref="C259:D259"/>
    <mergeCell ref="C232:D232"/>
    <mergeCell ref="C233:D233"/>
    <mergeCell ref="B235:B269"/>
    <mergeCell ref="C236:C252"/>
    <mergeCell ref="D236:D252"/>
    <mergeCell ref="E236:E252"/>
    <mergeCell ref="C260:D260"/>
    <mergeCell ref="C261:D261"/>
    <mergeCell ref="C262:D262"/>
    <mergeCell ref="C263:D263"/>
    <mergeCell ref="C223:D223"/>
    <mergeCell ref="C224:D224"/>
    <mergeCell ref="B225:B234"/>
    <mergeCell ref="C225:D225"/>
    <mergeCell ref="C226:D226"/>
    <mergeCell ref="C227:D227"/>
    <mergeCell ref="C228:D228"/>
    <mergeCell ref="C229:D229"/>
    <mergeCell ref="C230:D230"/>
    <mergeCell ref="C231:D231"/>
    <mergeCell ref="B210:B224"/>
    <mergeCell ref="C217:D217"/>
    <mergeCell ref="C218:D218"/>
    <mergeCell ref="C219:D219"/>
    <mergeCell ref="C220:D220"/>
    <mergeCell ref="C221:D221"/>
    <mergeCell ref="C222:D222"/>
    <mergeCell ref="C205:D205"/>
    <mergeCell ref="C206:D206"/>
    <mergeCell ref="C207:D207"/>
    <mergeCell ref="C208:D208"/>
    <mergeCell ref="C209:D209"/>
    <mergeCell ref="C213:D213"/>
    <mergeCell ref="C214:D214"/>
    <mergeCell ref="C215:D215"/>
    <mergeCell ref="C216:D216"/>
    <mergeCell ref="C199:D199"/>
    <mergeCell ref="C200:D200"/>
    <mergeCell ref="C201:D201"/>
    <mergeCell ref="C202:D202"/>
    <mergeCell ref="C203:D203"/>
    <mergeCell ref="C204:D204"/>
    <mergeCell ref="C193:D193"/>
    <mergeCell ref="C194:D194"/>
    <mergeCell ref="C195:D195"/>
    <mergeCell ref="C196:D196"/>
    <mergeCell ref="C197:D197"/>
    <mergeCell ref="C198:D198"/>
    <mergeCell ref="C191:D191"/>
    <mergeCell ref="C192:D192"/>
    <mergeCell ref="C179:C183"/>
    <mergeCell ref="D179:D183"/>
    <mergeCell ref="E179:E183"/>
    <mergeCell ref="F179:F183"/>
    <mergeCell ref="I179:I183"/>
    <mergeCell ref="C184:C185"/>
    <mergeCell ref="D184:D185"/>
    <mergeCell ref="E184:E185"/>
    <mergeCell ref="F184:F185"/>
    <mergeCell ref="I184:I185"/>
    <mergeCell ref="C170:C178"/>
    <mergeCell ref="D170:D178"/>
    <mergeCell ref="E170:E178"/>
    <mergeCell ref="F170:F178"/>
    <mergeCell ref="I170:I178"/>
    <mergeCell ref="J184:J185"/>
    <mergeCell ref="K184:K185"/>
    <mergeCell ref="C189:D189"/>
    <mergeCell ref="C190:D190"/>
    <mergeCell ref="D144:D152"/>
    <mergeCell ref="E144:E152"/>
    <mergeCell ref="F144:F152"/>
    <mergeCell ref="I144:I152"/>
    <mergeCell ref="C162:C168"/>
    <mergeCell ref="D162:D168"/>
    <mergeCell ref="E162:E168"/>
    <mergeCell ref="F162:F168"/>
    <mergeCell ref="I162:I168"/>
    <mergeCell ref="K126:K127"/>
    <mergeCell ref="J128:J129"/>
    <mergeCell ref="K128:K129"/>
    <mergeCell ref="J130:J131"/>
    <mergeCell ref="K130:K131"/>
    <mergeCell ref="B122:B209"/>
    <mergeCell ref="C123:C143"/>
    <mergeCell ref="D123:D143"/>
    <mergeCell ref="E123:E143"/>
    <mergeCell ref="F123:F143"/>
    <mergeCell ref="I123:I143"/>
    <mergeCell ref="C153:C159"/>
    <mergeCell ref="D153:D159"/>
    <mergeCell ref="E153:E159"/>
    <mergeCell ref="F153:F159"/>
    <mergeCell ref="I153:I159"/>
    <mergeCell ref="C160:C161"/>
    <mergeCell ref="D160:D161"/>
    <mergeCell ref="E160:E161"/>
    <mergeCell ref="F160:F161"/>
    <mergeCell ref="I160:I161"/>
    <mergeCell ref="J132:J133"/>
    <mergeCell ref="K132:K133"/>
    <mergeCell ref="C144:C152"/>
    <mergeCell ref="I115:I117"/>
    <mergeCell ref="I104:I105"/>
    <mergeCell ref="J104:J105"/>
    <mergeCell ref="B107:B113"/>
    <mergeCell ref="C110:D110"/>
    <mergeCell ref="C111:D111"/>
    <mergeCell ref="C112:D112"/>
    <mergeCell ref="C113:D113"/>
    <mergeCell ref="J126:J127"/>
    <mergeCell ref="E104:E105"/>
    <mergeCell ref="F104:F105"/>
    <mergeCell ref="E115:E117"/>
    <mergeCell ref="F115:F117"/>
    <mergeCell ref="C93:D93"/>
    <mergeCell ref="C94:D94"/>
    <mergeCell ref="C95:D95"/>
    <mergeCell ref="C96:D96"/>
    <mergeCell ref="C97:D97"/>
    <mergeCell ref="C98:D98"/>
    <mergeCell ref="B114:B117"/>
    <mergeCell ref="C115:C117"/>
    <mergeCell ref="D115:D117"/>
    <mergeCell ref="B87:B99"/>
    <mergeCell ref="C88:D88"/>
    <mergeCell ref="C89:D89"/>
    <mergeCell ref="C90:D90"/>
    <mergeCell ref="C91:D91"/>
    <mergeCell ref="C92:D92"/>
    <mergeCell ref="C99:D99"/>
    <mergeCell ref="B104:B105"/>
    <mergeCell ref="C104:C105"/>
    <mergeCell ref="D104:D105"/>
    <mergeCell ref="E57:E58"/>
    <mergeCell ref="F57:F58"/>
    <mergeCell ref="I57:I58"/>
    <mergeCell ref="C73:D73"/>
    <mergeCell ref="B74:B86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B59:B60"/>
    <mergeCell ref="B61:B73"/>
    <mergeCell ref="C62:D62"/>
    <mergeCell ref="C63:D63"/>
    <mergeCell ref="C64:D64"/>
    <mergeCell ref="C65:D65"/>
    <mergeCell ref="C66:D66"/>
    <mergeCell ref="B51:B55"/>
    <mergeCell ref="C54:D54"/>
    <mergeCell ref="C55:D55"/>
    <mergeCell ref="B56:B58"/>
    <mergeCell ref="C57:C58"/>
    <mergeCell ref="D57:D58"/>
    <mergeCell ref="C67:D67"/>
    <mergeCell ref="C68:D68"/>
    <mergeCell ref="C69:D69"/>
    <mergeCell ref="C70:D70"/>
    <mergeCell ref="C71:D71"/>
    <mergeCell ref="C72:D72"/>
    <mergeCell ref="C36:D36"/>
    <mergeCell ref="C25:D25"/>
    <mergeCell ref="C26:D26"/>
    <mergeCell ref="C27:D27"/>
    <mergeCell ref="C28:D28"/>
    <mergeCell ref="C29:D29"/>
    <mergeCell ref="C30:D30"/>
    <mergeCell ref="C37:D37"/>
    <mergeCell ref="B41:B49"/>
    <mergeCell ref="C42:D42"/>
    <mergeCell ref="C43:D43"/>
    <mergeCell ref="C44:D44"/>
    <mergeCell ref="C45:D45"/>
    <mergeCell ref="C46:D46"/>
    <mergeCell ref="C47:D47"/>
    <mergeCell ref="C48:D48"/>
    <mergeCell ref="C49:D49"/>
    <mergeCell ref="B8:K8"/>
    <mergeCell ref="B9:B37"/>
    <mergeCell ref="C9:C13"/>
    <mergeCell ref="D9:D13"/>
    <mergeCell ref="E9:E13"/>
    <mergeCell ref="F9:F13"/>
    <mergeCell ref="I9:I13"/>
    <mergeCell ref="J9:J10"/>
    <mergeCell ref="K9:K10"/>
    <mergeCell ref="C14:C20"/>
    <mergeCell ref="D14:D20"/>
    <mergeCell ref="E14:E20"/>
    <mergeCell ref="F14:F20"/>
    <mergeCell ref="I14:I20"/>
    <mergeCell ref="C22:C23"/>
    <mergeCell ref="D22:D23"/>
    <mergeCell ref="E22:E23"/>
    <mergeCell ref="F22:F23"/>
    <mergeCell ref="I22:I23"/>
    <mergeCell ref="C31:D31"/>
    <mergeCell ref="C32:D32"/>
    <mergeCell ref="C33:D33"/>
    <mergeCell ref="C34:D34"/>
    <mergeCell ref="C35:D35"/>
    <mergeCell ref="B2:K2"/>
    <mergeCell ref="B3:K3"/>
    <mergeCell ref="B4:K4"/>
    <mergeCell ref="B6:B7"/>
    <mergeCell ref="C6:D6"/>
    <mergeCell ref="E6:E7"/>
    <mergeCell ref="F6:F7"/>
    <mergeCell ref="G6:H6"/>
    <mergeCell ref="I6:I7"/>
    <mergeCell ref="J6:K6"/>
  </mergeCells>
  <pageMargins left="0.70866141732283472" right="0.36" top="0.59" bottom="0.74" header="0.31496062992125984" footer="0.31496062992125984"/>
  <pageSetup paperSize="9" scale="44" fitToHeight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янв-сент 16 с РЗЗ для адм готов</vt:lpstr>
      <vt:lpstr>Лист1</vt:lpstr>
      <vt:lpstr>Лист2</vt:lpstr>
      <vt:lpstr>Лист3</vt:lpstr>
      <vt:lpstr>'янв-сент 16 с РЗЗ для адм готов'!Заголовки_для_печати</vt:lpstr>
      <vt:lpstr>'янв-сент 16 с РЗЗ для адм готов'!Область_печати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2016-10-18T11:12:04Z</dcterms:modified>
</cp:coreProperties>
</file>