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9005" windowHeight="11700"/>
  </bookViews>
  <sheets>
    <sheet name="янв-март17 с РЗЗ для Админ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'янв-март17 с РЗЗ для Админ'!$B:$K,'янв-март17 с РЗЗ для Админ'!$6:$7</definedName>
    <definedName name="_xlnm.Print_Area" localSheetId="0">'янв-март17 с РЗЗ для Админ'!$B$2:$K$76</definedName>
  </definedNames>
  <calcPr calcId="145621"/>
</workbook>
</file>

<file path=xl/calcChain.xml><?xml version="1.0" encoding="utf-8"?>
<calcChain xmlns="http://schemas.openxmlformats.org/spreadsheetml/2006/main">
  <c r="I74" i="4" l="1"/>
  <c r="H74" i="4"/>
  <c r="F74" i="4"/>
  <c r="I72" i="4"/>
  <c r="H72" i="4"/>
  <c r="F72" i="4" s="1"/>
  <c r="H71" i="4"/>
  <c r="I70" i="4"/>
  <c r="H70" i="4"/>
  <c r="I68" i="4"/>
  <c r="F68" i="4"/>
  <c r="I67" i="4"/>
  <c r="H67" i="4"/>
  <c r="F67" i="4" s="1"/>
  <c r="E67" i="4"/>
  <c r="K65" i="4"/>
  <c r="I64" i="4" s="1"/>
  <c r="H65" i="4"/>
  <c r="K64" i="4"/>
  <c r="H64" i="4"/>
  <c r="F64" i="4" s="1"/>
  <c r="K61" i="4"/>
  <c r="H61" i="4"/>
  <c r="K60" i="4"/>
  <c r="H60" i="4"/>
  <c r="F60" i="4" s="1"/>
  <c r="K57" i="4"/>
  <c r="I57" i="4"/>
  <c r="F57" i="4"/>
  <c r="I56" i="4"/>
  <c r="F56" i="4"/>
  <c r="H54" i="4"/>
  <c r="F54" i="4" s="1"/>
  <c r="E54" i="4"/>
  <c r="I53" i="4"/>
  <c r="F53" i="4"/>
  <c r="E53" i="4"/>
  <c r="I52" i="4"/>
  <c r="H52" i="4"/>
  <c r="F52" i="4"/>
  <c r="E52" i="4"/>
  <c r="K50" i="4"/>
  <c r="I50" i="4" s="1"/>
  <c r="F50" i="4"/>
  <c r="K48" i="4"/>
  <c r="I48" i="4" s="1"/>
  <c r="F48" i="4"/>
  <c r="H39" i="4"/>
  <c r="I38" i="4"/>
  <c r="H38" i="4"/>
  <c r="E38" i="4"/>
  <c r="H36" i="4"/>
  <c r="H35" i="4"/>
  <c r="F32" i="4" s="1"/>
  <c r="H34" i="4"/>
  <c r="H33" i="4"/>
  <c r="K32" i="4"/>
  <c r="I32" i="4"/>
  <c r="H32" i="4"/>
  <c r="E32" i="4"/>
  <c r="K29" i="4"/>
  <c r="K28" i="4"/>
  <c r="K27" i="4"/>
  <c r="F27" i="4"/>
  <c r="I23" i="4"/>
  <c r="H23" i="4"/>
  <c r="F23" i="4" s="1"/>
  <c r="I21" i="4"/>
  <c r="F21" i="4"/>
  <c r="I20" i="4"/>
  <c r="H20" i="4"/>
  <c r="F20" i="4"/>
  <c r="E20" i="4"/>
  <c r="H18" i="4"/>
  <c r="I17" i="4"/>
  <c r="H17" i="4"/>
  <c r="F17" i="4" s="1"/>
  <c r="K16" i="4"/>
  <c r="K22" i="4" s="1"/>
  <c r="K24" i="4" s="1"/>
  <c r="F16" i="4"/>
  <c r="E16" i="4"/>
  <c r="I15" i="4"/>
  <c r="H15" i="4"/>
  <c r="F15" i="4" s="1"/>
  <c r="E15" i="4"/>
  <c r="I13" i="4"/>
  <c r="H13" i="4"/>
  <c r="F13" i="4" s="1"/>
  <c r="E13" i="4"/>
  <c r="I11" i="4"/>
  <c r="H11" i="4"/>
  <c r="E11" i="4"/>
  <c r="H22" i="4" l="1"/>
  <c r="H24" i="4" s="1"/>
  <c r="I16" i="4"/>
  <c r="H73" i="4"/>
  <c r="H75" i="4" s="1"/>
  <c r="F38" i="4"/>
  <c r="F70" i="4"/>
  <c r="I22" i="4"/>
  <c r="I24" i="4" s="1"/>
  <c r="I27" i="4"/>
  <c r="F11" i="4"/>
  <c r="F22" i="4" s="1"/>
  <c r="F24" i="4" s="1"/>
  <c r="I60" i="4"/>
  <c r="I73" i="4" s="1"/>
  <c r="I75" i="4" s="1"/>
  <c r="I76" i="4" s="1"/>
  <c r="H76" i="4"/>
  <c r="F73" i="4"/>
  <c r="F75" i="4" s="1"/>
  <c r="F76" i="4" s="1"/>
  <c r="K73" i="4"/>
  <c r="K75" i="4" s="1"/>
  <c r="K76" i="4" s="1"/>
</calcChain>
</file>

<file path=xl/comments1.xml><?xml version="1.0" encoding="utf-8"?>
<comments xmlns="http://schemas.openxmlformats.org/spreadsheetml/2006/main">
  <authors>
    <author>Автор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G56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<sst xmlns="http://schemas.openxmlformats.org/spreadsheetml/2006/main" count="249" uniqueCount="152">
  <si>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</si>
  <si>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</si>
  <si>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январь-март 2017 г.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</si>
  <si>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</si>
  <si>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</si>
  <si>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</si>
  <si>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</si>
  <si>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</si>
  <si>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</si>
  <si>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</si>
  <si>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</si>
  <si>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</si>
  <si>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</si>
  <si>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</si>
  <si>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</si>
  <si>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</si>
  <si>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АО "Гидромашсервис"</t>
  </si>
  <si>
    <t>748/15 от 29.12.15 (часть)</t>
  </si>
  <si>
    <t>№678 от 27.02.2017 (часть)</t>
  </si>
  <si>
    <t>__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</si>
  <si>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</si>
  <si>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748/15 от 29.12.15  (часть)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</si>
  <si>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</si>
  <si>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ПИР, СМР. Строительство сетей водоснабжения в микрорайоне Никольское</t>
  </si>
  <si>
    <t>ООО "Экопроект ЦЧР"</t>
  </si>
  <si>
    <t xml:space="preserve">535/16 от 01.11.16 </t>
  </si>
  <si>
    <t>Акт №14 от 27.01.2017</t>
  </si>
  <si>
    <t>ООО "ЭкоСтрой"</t>
  </si>
  <si>
    <t xml:space="preserve"> 541/16 от 15.11.16</t>
  </si>
  <si>
    <t>№148 от 17.01.2017</t>
  </si>
  <si>
    <t>КС-2, КС-3 №1 от 09.03.2017</t>
  </si>
  <si>
    <t xml:space="preserve">№660657 от 20.02.2017 </t>
  </si>
  <si>
    <t>№1868 от 30.03.2017</t>
  </si>
  <si>
    <t>ЗАО "Воронеж-Пласт"</t>
  </si>
  <si>
    <t>514/16 от 24.10.2016</t>
  </si>
  <si>
    <t>№3 от 09.01.2017</t>
  </si>
  <si>
    <t>Давальческие материалы ООО "ЭкоСтрой"  (март)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</si>
  <si>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</si>
  <si>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</si>
  <si>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</si>
  <si>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</si>
  <si>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</si>
  <si>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</si>
  <si>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728/14 от 28.11.14</t>
  </si>
  <si>
    <t>№875 от 02.03.2017</t>
  </si>
  <si>
    <t>КС-2, КС-3 №32 от 27.01.2017</t>
  </si>
  <si>
    <t>№729690 от 22.03.2017</t>
  </si>
  <si>
    <t>КС-2, КС-3 №33 от 28.02.2017</t>
  </si>
  <si>
    <t>№729691 от 22.03.2017</t>
  </si>
  <si>
    <t>КС-2, КС-3 №34 от 28.02.2017</t>
  </si>
  <si>
    <t>КС-2, КС-3 №35 от 22.03.2017</t>
  </si>
  <si>
    <t>КС-2, КС-3 №36 от 22.03.2017</t>
  </si>
  <si>
    <t xml:space="preserve">427/15 от 30.09.15 </t>
  </si>
  <si>
    <t xml:space="preserve">№659 от 20.02.2017 </t>
  </si>
  <si>
    <t>КС-2, КС-3 №18 от 27.01.2017</t>
  </si>
  <si>
    <t xml:space="preserve">№661 от 20.02.2017 </t>
  </si>
  <si>
    <t xml:space="preserve">№682 от 20.02.2017 </t>
  </si>
  <si>
    <t xml:space="preserve">№658 от 20.02.2017 </t>
  </si>
  <si>
    <t xml:space="preserve">№660660 от 20.02.2017 </t>
  </si>
  <si>
    <t>№729689 от 22.03.2017</t>
  </si>
  <si>
    <t>АО "МАЙ ПРОЕКТ"</t>
  </si>
  <si>
    <t>187/16 от 06.05.16, д/с №671/19 от 21.12.2016</t>
  </si>
  <si>
    <t>№646189 от 27.01.2017</t>
  </si>
  <si>
    <t>Корректировка долга 20.01.2017</t>
  </si>
  <si>
    <t>№729683 от 22.03.2017</t>
  </si>
  <si>
    <t>№729684 от 22.03.2017</t>
  </si>
  <si>
    <t>№729685 от 22.03.2017</t>
  </si>
  <si>
    <t>№729686 от 22.03.2017</t>
  </si>
  <si>
    <t>№729687 от 22.03.2017</t>
  </si>
  <si>
    <t>№729688 от 22.03.2017</t>
  </si>
  <si>
    <t>ПИР, СМР. Реконструкция главного Левобережного коллектора Д-2000 мм протяженностью L-3000 п.м.  (инв. №30014578 «Канализационные сети Левобережного района»).</t>
  </si>
  <si>
    <t>ООО "Производственная фирма "СТИС"</t>
  </si>
  <si>
    <t>430/16 от 20.09.2016</t>
  </si>
  <si>
    <t>№1800 от 24.03.2017</t>
  </si>
  <si>
    <t>КС-2, КС-3 №3 от 28.02.2017</t>
  </si>
  <si>
    <t>КС-2, КС-3 №4 от 01.03.2017</t>
  </si>
  <si>
    <t>Давальческие материалы ООО "Производственная фирма "СТИС" (март)</t>
  </si>
  <si>
    <t>ПИР, СМР. Строительство канализационных сетей и сооружений в микрорайоне Никольское</t>
  </si>
  <si>
    <t>ООО "АгроПроектИнжиниринг"</t>
  </si>
  <si>
    <t>79/16 от 19.02.16</t>
  </si>
  <si>
    <t>№185 от 18.01.2017</t>
  </si>
  <si>
    <t>ПИР, СМР. Реконструкция канализационных линий, подводящих сточные воды к КНС-5</t>
  </si>
  <si>
    <t>ООО "ТЕХНОЛОГИИ XXI ВЕК"</t>
  </si>
  <si>
    <t>346/16 от 27.07.16, д/с №616/16 от 27.07.16</t>
  </si>
  <si>
    <t>ООО "ПОЛИПЛАСТИК Поволжье"</t>
  </si>
  <si>
    <t>594/16 от 12.12.16</t>
  </si>
  <si>
    <t>№153 от 17.01.2017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</si>
  <si>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</si>
  <si>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ООО "ЭНЕРГОСТРОЙ"</t>
  </si>
  <si>
    <t>364/16 от 08.08.16</t>
  </si>
  <si>
    <t>№1801 от 24.03.2017</t>
  </si>
  <si>
    <t>Строительство Сочинского коллектора</t>
  </si>
  <si>
    <t>ООО "ТЕХНОЛОГИИ 21 ВЕК"</t>
  </si>
  <si>
    <t>540/16 от 03.11.2016</t>
  </si>
  <si>
    <t>№707886 от 02.03.2017</t>
  </si>
  <si>
    <t xml:space="preserve">КС-2, КС-3 №2 от 20.02.2017 </t>
  </si>
  <si>
    <t>№729594 от 17.03.2017</t>
  </si>
  <si>
    <t>№729695 от 22.03.2017</t>
  </si>
  <si>
    <t>ПИР, СМР. Реконструкция КНС-9 (инв. №10000462) с заменой оборудования</t>
  </si>
  <si>
    <t>ООО "Строительные технологии</t>
  </si>
  <si>
    <t>562/16 от 17.11.2016</t>
  </si>
  <si>
    <t xml:space="preserve">№648349 от 07.02.2017 </t>
  </si>
  <si>
    <t>КС-2, КС-3 №3 от 27.02.2017</t>
  </si>
  <si>
    <t xml:space="preserve">№660665 от 20.02.2017 </t>
  </si>
  <si>
    <t>№729692 от 22.03.2017</t>
  </si>
  <si>
    <t>КС-2, КС-3 №4 от 15.03.2017</t>
  </si>
  <si>
    <t>ПИР, СМР. Реконструкция КНС-6 (инв. №10000384) с заменой оборудования</t>
  </si>
  <si>
    <t>ООО "Строительные технологии"</t>
  </si>
  <si>
    <t>563/16 от 17.11.2016</t>
  </si>
  <si>
    <t>№648348 от 07.02.2017</t>
  </si>
  <si>
    <t xml:space="preserve">№660664 от 20.02.2017 </t>
  </si>
  <si>
    <t>№729693 от 22.03.2017</t>
  </si>
  <si>
    <t>ПИР, СМР. Реконструкция КНС-8 (инв. №10000386) с заменой оборудования</t>
  </si>
  <si>
    <t>ООО "Производственная фирма "СТИС""</t>
  </si>
  <si>
    <t xml:space="preserve">451/16 от 30.09.16 </t>
  </si>
  <si>
    <t xml:space="preserve">№649561 от 10.02.2017 </t>
  </si>
  <si>
    <t>212/16 от 20.05.16, д/с № 1/672/16 от 22.12.2016</t>
  </si>
  <si>
    <t>№729694 от 22.03.2017</t>
  </si>
  <si>
    <t>Создание гидравлической модели работы системы водоотведения</t>
  </si>
  <si>
    <t>ООО НПП "КОМПЬЮТЕРНЫЕ ТЕХНОЛОГИИ"</t>
  </si>
  <si>
    <t>337/16 от 21.07.16</t>
  </si>
  <si>
    <t xml:space="preserve">№648381 от 09.02.2017 </t>
  </si>
  <si>
    <t xml:space="preserve">№649501 от 13.02.2017 </t>
  </si>
  <si>
    <t xml:space="preserve">Создание системы охраны периметра ГКНС, РКНС </t>
  </si>
  <si>
    <t>ООО "ТВ-Сервис"</t>
  </si>
  <si>
    <t>565/16 от 21.11.2016</t>
  </si>
  <si>
    <t>№281 от 24.01.2017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</si>
  <si>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</si>
  <si>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</si>
  <si>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</si>
  <si>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</si>
  <si>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1 кв. 2017 года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</si>
  <si>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</si>
  <si>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</si>
  <si>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</si>
  <si>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</si>
  <si>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</si>
  <si>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</si>
  <si>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</si>
  <si>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</si>
  <si>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</si>
  <si>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</si>
  <si>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28 058,75</t>
  </si>
  <si>
    <t>Обязательство по налогу на прибыль (расчетно по ИП)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</si>
  <si>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</si>
  <si>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</si>
  <si>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</si>
  <si>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</si>
  <si>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</si>
  <si>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С.В. Туршатова</t>
  </si>
  <si>
    <t>Начальник ОРИП</t>
  </si>
  <si>
    <t>Е.С. Александрова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</si>
</sst>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2"/>
      <color theme="3" tint="0.3999755851924192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12" fillId="0" borderId="0"/>
    <xf numFmtId="0" fontId="13" fillId="0" borderId="0"/>
    <xf numFmtId="0" fontId="2" fillId="0" borderId="0"/>
    <xf numFmtId="0" fontId="14" fillId="0" borderId="0"/>
  </cellStyleXfs>
  <cellXfs count="149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1" fillId="0" borderId="0" xfId="1" applyFill="1"/>
    <xf numFmtId="0" fontId="1" fillId="0" borderId="0" xfId="1"/>
    <xf numFmtId="0" fontId="3" fillId="0" borderId="0" xfId="1" applyFont="1"/>
    <xf numFmtId="0" fontId="8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>
      <alignment vertical="center" wrapText="1"/>
    </xf>
    <xf numFmtId="0" fontId="5" fillId="0" borderId="14" xfId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164" fontId="5" fillId="0" borderId="21" xfId="1" applyNumberFormat="1" applyFont="1" applyFill="1" applyBorder="1" applyAlignment="1">
      <alignment horizontal="center" vertical="center" wrapText="1"/>
    </xf>
    <xf numFmtId="165" fontId="5" fillId="0" borderId="21" xfId="1" applyNumberFormat="1" applyFont="1" applyFill="1" applyBorder="1" applyAlignment="1">
      <alignment horizontal="center" vertical="center" wrapText="1"/>
    </xf>
    <xf numFmtId="164" fontId="5" fillId="0" borderId="23" xfId="1" applyNumberFormat="1" applyFont="1" applyFill="1" applyBorder="1" applyAlignment="1">
      <alignment horizontal="center" vertic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164" fontId="6" fillId="0" borderId="32" xfId="1" applyNumberFormat="1" applyFont="1" applyFill="1" applyBorder="1" applyAlignment="1">
      <alignment horizontal="center" vertical="center" wrapText="1"/>
    </xf>
    <xf numFmtId="164" fontId="5" fillId="0" borderId="31" xfId="1" applyNumberFormat="1" applyFont="1" applyFill="1" applyBorder="1" applyAlignment="1">
      <alignment horizontal="center" vertical="center" wrapText="1"/>
    </xf>
    <xf numFmtId="0" fontId="4" fillId="0" borderId="11" xfId="1" applyFont="1" applyBorder="1"/>
    <xf numFmtId="0" fontId="6" fillId="0" borderId="11" xfId="1" applyFont="1" applyFill="1" applyBorder="1" applyAlignment="1">
      <alignment vertical="center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164" fontId="5" fillId="0" borderId="25" xfId="1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0" borderId="38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9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164" fontId="5" fillId="0" borderId="40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164" fontId="5" fillId="0" borderId="19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164" fontId="5" fillId="0" borderId="41" xfId="1" applyNumberFormat="1" applyFont="1" applyFill="1" applyBorder="1" applyAlignment="1">
      <alignment horizontal="center" vertical="center" wrapText="1"/>
    </xf>
    <xf numFmtId="164" fontId="5" fillId="0" borderId="42" xfId="1" applyNumberFormat="1" applyFont="1" applyFill="1" applyBorder="1" applyAlignment="1">
      <alignment horizontal="center" vertical="center" wrapText="1"/>
    </xf>
    <xf numFmtId="164" fontId="5" fillId="0" borderId="43" xfId="1" applyNumberFormat="1" applyFont="1" applyFill="1" applyBorder="1" applyAlignment="1">
      <alignment horizontal="center" vertical="center" wrapText="1"/>
    </xf>
    <xf numFmtId="164" fontId="5" fillId="0" borderId="44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/>
    <xf numFmtId="0" fontId="4" fillId="0" borderId="0" xfId="1" applyFont="1"/>
    <xf numFmtId="164" fontId="5" fillId="0" borderId="25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165" fontId="5" fillId="0" borderId="26" xfId="1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24" xfId="3" applyNumberFormat="1" applyFont="1" applyFill="1" applyBorder="1" applyAlignment="1">
      <alignment horizontal="center" vertical="center" wrapText="1"/>
    </xf>
    <xf numFmtId="0" fontId="5" fillId="0" borderId="6" xfId="3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vertical="center" wrapText="1"/>
    </xf>
    <xf numFmtId="4" fontId="18" fillId="0" borderId="44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9" fillId="0" borderId="46" xfId="0" applyFont="1" applyBorder="1" applyAlignment="1">
      <alignment vertical="center" wrapText="1"/>
    </xf>
    <xf numFmtId="0" fontId="19" fillId="0" borderId="44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4" fontId="18" fillId="0" borderId="48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7" fillId="0" borderId="49" xfId="0" applyFont="1" applyBorder="1" applyAlignment="1">
      <alignment vertical="center" wrapText="1"/>
    </xf>
    <xf numFmtId="0" fontId="20" fillId="0" borderId="0" xfId="1" applyFont="1" applyFill="1" applyAlignment="1">
      <alignment horizontal="left"/>
    </xf>
    <xf numFmtId="0" fontId="20" fillId="0" borderId="0" xfId="1" applyFont="1" applyFill="1" applyBorder="1"/>
    <xf numFmtId="0" fontId="20" fillId="0" borderId="0" xfId="1" applyFont="1" applyFill="1"/>
    <xf numFmtId="4" fontId="18" fillId="0" borderId="45" xfId="0" applyNumberFormat="1" applyFont="1" applyBorder="1" applyAlignment="1">
      <alignment horizontal="right" vertical="center" wrapText="1"/>
    </xf>
  </cellXfs>
  <cellStyles count="8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_Бизнес-план 2005 г. (РВК)1 экспериментальн 2 со 2 квартала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00"/>
  <sheetViews>
    <sheetView tabSelected="1" zoomScale="60" zoomScaleNormal="60" workbookViewId="0">
      <selection activeCell="N7" sqref="N7"/>
    </sheetView>
  </sheetViews>
  <sheetFormatPr defaultRowHeight="15" x14ac:dyDescent="0.25"/>
  <cols>
    <col min="1" max="1" width="9.140625" style="7"/>
    <col min="2" max="2" width="48.42578125" style="71" customWidth="1"/>
    <col min="3" max="3" width="20.85546875" style="6" customWidth="1"/>
    <col min="4" max="4" width="14.85546875" style="6" customWidth="1"/>
    <col min="5" max="5" width="17.7109375" style="6" customWidth="1"/>
    <col min="6" max="6" width="18.42578125" style="6" customWidth="1"/>
    <col min="7" max="7" width="17" style="6" customWidth="1"/>
    <col min="8" max="8" width="16.7109375" style="6" customWidth="1"/>
    <col min="9" max="9" width="19.85546875" style="6" customWidth="1"/>
    <col min="10" max="10" width="18" style="6" customWidth="1"/>
    <col min="11" max="11" width="17" style="70" customWidth="1"/>
    <col min="12" max="14" width="9.140625" style="6"/>
    <col min="15" max="16384" width="9.140625" style="7"/>
  </cols>
  <sheetData>
    <row r="1" spans="1:14" ht="28.5" customHeight="1" x14ac:dyDescent="0.25">
      <c r="A1" s="1"/>
      <c r="B1" s="2"/>
      <c r="C1" s="1"/>
      <c r="D1" s="1"/>
      <c r="E1" s="1"/>
      <c r="F1" s="1"/>
      <c r="G1" s="3"/>
      <c r="H1" s="4"/>
      <c r="I1" s="5"/>
      <c r="J1" s="4"/>
      <c r="K1" s="4"/>
    </row>
    <row r="2" spans="1:14" ht="15.75" x14ac:dyDescent="0.25">
      <c r="A2" s="8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14" ht="15.75" x14ac:dyDescent="0.25">
      <c r="A3" s="8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1:14" ht="15.75" x14ac:dyDescent="0.25">
      <c r="A4" s="8"/>
      <c r="B4" s="105" t="s">
        <v>2</v>
      </c>
      <c r="C4" s="105"/>
      <c r="D4" s="105"/>
      <c r="E4" s="105"/>
      <c r="F4" s="105"/>
      <c r="G4" s="105"/>
      <c r="H4" s="105"/>
      <c r="I4" s="105"/>
      <c r="J4" s="105"/>
      <c r="K4" s="105"/>
    </row>
    <row r="5" spans="1:14" ht="16.5" thickBot="1" x14ac:dyDescent="0.3">
      <c r="A5" s="8"/>
      <c r="B5" s="9"/>
      <c r="C5" s="10"/>
      <c r="D5" s="10"/>
      <c r="E5" s="10"/>
      <c r="F5" s="10"/>
      <c r="G5" s="10"/>
      <c r="H5" s="10"/>
      <c r="I5" s="10"/>
      <c r="J5" s="10"/>
      <c r="K5" s="11"/>
    </row>
    <row r="6" spans="1:14" ht="15.75" x14ac:dyDescent="0.25">
      <c r="A6" s="8"/>
      <c r="B6" s="106" t="s">
        <v>3</v>
      </c>
      <c r="C6" s="108" t="s">
        <v>4</v>
      </c>
      <c r="D6" s="109"/>
      <c r="E6" s="110" t="s">
        <v>5</v>
      </c>
      <c r="F6" s="110" t="s">
        <v>6</v>
      </c>
      <c r="G6" s="112" t="s">
        <v>7</v>
      </c>
      <c r="H6" s="113"/>
      <c r="I6" s="114" t="s">
        <v>8</v>
      </c>
      <c r="J6" s="116" t="s">
        <v>9</v>
      </c>
      <c r="K6" s="117"/>
    </row>
    <row r="7" spans="1:14" ht="64.5" customHeight="1" thickBot="1" x14ac:dyDescent="0.3">
      <c r="A7" s="8"/>
      <c r="B7" s="107"/>
      <c r="C7" s="12" t="s">
        <v>10</v>
      </c>
      <c r="D7" s="12" t="s">
        <v>11</v>
      </c>
      <c r="E7" s="111"/>
      <c r="F7" s="111"/>
      <c r="G7" s="13" t="s">
        <v>12</v>
      </c>
      <c r="H7" s="14" t="s">
        <v>13</v>
      </c>
      <c r="I7" s="115"/>
      <c r="J7" s="13" t="s">
        <v>12</v>
      </c>
      <c r="K7" s="15" t="s">
        <v>13</v>
      </c>
    </row>
    <row r="8" spans="1:14" ht="16.5" thickBot="1" x14ac:dyDescent="0.3">
      <c r="A8" s="8"/>
      <c r="B8" s="96" t="s">
        <v>14</v>
      </c>
      <c r="C8" s="97"/>
      <c r="D8" s="97"/>
      <c r="E8" s="97"/>
      <c r="F8" s="97"/>
      <c r="G8" s="97"/>
      <c r="H8" s="97"/>
      <c r="I8" s="97"/>
      <c r="J8" s="97"/>
      <c r="K8" s="98"/>
    </row>
    <row r="9" spans="1:14" ht="16.5" thickBot="1" x14ac:dyDescent="0.3">
      <c r="A9" s="8"/>
      <c r="B9" s="16"/>
      <c r="C9" s="17"/>
      <c r="D9" s="17"/>
      <c r="E9" s="17"/>
      <c r="F9" s="17"/>
      <c r="G9" s="17"/>
      <c r="H9" s="17"/>
      <c r="I9" s="17"/>
      <c r="J9" s="17"/>
      <c r="K9" s="18"/>
    </row>
    <row r="10" spans="1:14" s="8" customFormat="1" ht="32.25" hidden="1" customHeight="1" x14ac:dyDescent="0.25">
      <c r="B10" s="74" t="s">
        <v>15</v>
      </c>
      <c r="C10" s="19"/>
      <c r="D10" s="19"/>
      <c r="E10" s="20"/>
      <c r="F10" s="20"/>
      <c r="G10" s="20"/>
      <c r="H10" s="20"/>
      <c r="I10" s="20"/>
      <c r="J10" s="20"/>
      <c r="K10" s="21"/>
      <c r="L10" s="1"/>
      <c r="M10" s="1"/>
      <c r="N10" s="1"/>
    </row>
    <row r="11" spans="1:14" s="8" customFormat="1" ht="60.75" customHeight="1" thickBot="1" x14ac:dyDescent="0.3">
      <c r="B11" s="75"/>
      <c r="C11" s="22" t="s">
        <v>16</v>
      </c>
      <c r="D11" s="23" t="s">
        <v>17</v>
      </c>
      <c r="E11" s="24">
        <f>17859290*1.18/1000</f>
        <v>21073.962199999998</v>
      </c>
      <c r="F11" s="24">
        <f>SUM(H11:H11)</f>
        <v>18035.17841</v>
      </c>
      <c r="G11" s="24" t="s">
        <v>18</v>
      </c>
      <c r="H11" s="24">
        <f>18035178.41/1000</f>
        <v>18035.17841</v>
      </c>
      <c r="I11" s="24">
        <f>SUM(K11:K11)</f>
        <v>0</v>
      </c>
      <c r="J11" s="25" t="s">
        <v>19</v>
      </c>
      <c r="K11" s="26" t="s">
        <v>19</v>
      </c>
      <c r="L11" s="1"/>
      <c r="M11" s="1"/>
      <c r="N11" s="1"/>
    </row>
    <row r="12" spans="1:14" s="8" customFormat="1" ht="2.25" hidden="1" customHeight="1" x14ac:dyDescent="0.25">
      <c r="B12" s="99" t="s">
        <v>20</v>
      </c>
      <c r="C12" s="27"/>
      <c r="D12" s="19"/>
      <c r="E12" s="20"/>
      <c r="F12" s="20"/>
      <c r="G12" s="20"/>
      <c r="H12" s="20"/>
      <c r="I12" s="20"/>
      <c r="J12" s="20"/>
      <c r="K12" s="21"/>
      <c r="L12" s="1"/>
      <c r="M12" s="1"/>
      <c r="N12" s="1"/>
    </row>
    <row r="13" spans="1:14" s="8" customFormat="1" ht="63" customHeight="1" thickBot="1" x14ac:dyDescent="0.3">
      <c r="B13" s="100"/>
      <c r="C13" s="23" t="s">
        <v>16</v>
      </c>
      <c r="D13" s="23" t="s">
        <v>21</v>
      </c>
      <c r="E13" s="24">
        <f>10176490*1.18/1000</f>
        <v>12008.258199999998</v>
      </c>
      <c r="F13" s="24">
        <f>SUM(H13:H13)</f>
        <v>12008.258199999998</v>
      </c>
      <c r="G13" s="24" t="s">
        <v>18</v>
      </c>
      <c r="H13" s="24">
        <f>12008258.2/1000</f>
        <v>12008.258199999998</v>
      </c>
      <c r="I13" s="24">
        <f>SUM(K13:K13)</f>
        <v>0</v>
      </c>
      <c r="J13" s="25" t="s">
        <v>19</v>
      </c>
      <c r="K13" s="26" t="s">
        <v>19</v>
      </c>
      <c r="L13" s="1"/>
      <c r="M13" s="1"/>
      <c r="N13" s="1"/>
    </row>
    <row r="14" spans="1:14" s="8" customFormat="1" ht="31.5" hidden="1" customHeight="1" x14ac:dyDescent="0.25">
      <c r="B14" s="101" t="s">
        <v>22</v>
      </c>
      <c r="C14" s="19"/>
      <c r="D14" s="19"/>
      <c r="E14" s="19"/>
      <c r="F14" s="20"/>
      <c r="G14" s="20"/>
      <c r="H14" s="20"/>
      <c r="I14" s="20"/>
      <c r="J14" s="20"/>
      <c r="K14" s="21"/>
      <c r="L14" s="1"/>
      <c r="M14" s="1"/>
      <c r="N14" s="1"/>
    </row>
    <row r="15" spans="1:14" s="8" customFormat="1" ht="62.25" customHeight="1" thickBot="1" x14ac:dyDescent="0.3">
      <c r="B15" s="102"/>
      <c r="C15" s="22" t="s">
        <v>16</v>
      </c>
      <c r="D15" s="23" t="s">
        <v>21</v>
      </c>
      <c r="E15" s="24">
        <f>14884895*1.18/1000</f>
        <v>17564.176099999997</v>
      </c>
      <c r="F15" s="24">
        <f>SUM(H15:H15)</f>
        <v>17564.176100000001</v>
      </c>
      <c r="G15" s="24" t="s">
        <v>18</v>
      </c>
      <c r="H15" s="24">
        <f>17564176.1/1000</f>
        <v>17564.176100000001</v>
      </c>
      <c r="I15" s="24">
        <f>SUM(K15:K15)</f>
        <v>0</v>
      </c>
      <c r="J15" s="25" t="s">
        <v>19</v>
      </c>
      <c r="K15" s="26" t="s">
        <v>19</v>
      </c>
      <c r="L15" s="1"/>
      <c r="M15" s="1"/>
      <c r="N15" s="1"/>
    </row>
    <row r="16" spans="1:14" s="8" customFormat="1" ht="45" customHeight="1" x14ac:dyDescent="0.25">
      <c r="B16" s="86" t="s">
        <v>23</v>
      </c>
      <c r="C16" s="28" t="s">
        <v>24</v>
      </c>
      <c r="D16" s="29" t="s">
        <v>25</v>
      </c>
      <c r="E16" s="30">
        <f>1100000/1000</f>
        <v>1100</v>
      </c>
      <c r="F16" s="30" t="str">
        <f t="shared" ref="F16" si="0">H16</f>
        <v>__</v>
      </c>
      <c r="G16" s="30" t="s">
        <v>19</v>
      </c>
      <c r="H16" s="31" t="s">
        <v>19</v>
      </c>
      <c r="I16" s="31">
        <f t="shared" ref="I16" si="1">K16</f>
        <v>351.19662680000005</v>
      </c>
      <c r="J16" s="30" t="s">
        <v>26</v>
      </c>
      <c r="K16" s="32">
        <f>351196.6268/1000</f>
        <v>351.19662680000005</v>
      </c>
      <c r="L16" s="1"/>
      <c r="M16" s="1"/>
      <c r="N16" s="1"/>
    </row>
    <row r="17" spans="2:14" s="8" customFormat="1" ht="34.5" customHeight="1" x14ac:dyDescent="0.25">
      <c r="B17" s="87"/>
      <c r="C17" s="77" t="s">
        <v>27</v>
      </c>
      <c r="D17" s="77" t="s">
        <v>28</v>
      </c>
      <c r="E17" s="72">
        <v>2740.83</v>
      </c>
      <c r="F17" s="72">
        <f>SUM(H17:H19)</f>
        <v>1926.7512000000002</v>
      </c>
      <c r="G17" s="30" t="s">
        <v>29</v>
      </c>
      <c r="H17" s="31">
        <f>737212.08/1000</f>
        <v>737.21208000000001</v>
      </c>
      <c r="I17" s="72">
        <f>SUM(K17:K19)</f>
        <v>253.22681999999998</v>
      </c>
      <c r="J17" s="33" t="s">
        <v>30</v>
      </c>
      <c r="K17" s="32">
        <v>253.22681999999998</v>
      </c>
      <c r="L17" s="1"/>
      <c r="M17" s="1"/>
      <c r="N17" s="1"/>
    </row>
    <row r="18" spans="2:14" s="8" customFormat="1" ht="34.5" customHeight="1" x14ac:dyDescent="0.25">
      <c r="B18" s="87"/>
      <c r="C18" s="82"/>
      <c r="D18" s="82"/>
      <c r="E18" s="83"/>
      <c r="F18" s="83"/>
      <c r="G18" s="30" t="s">
        <v>31</v>
      </c>
      <c r="H18" s="31">
        <f>936312.3/1000</f>
        <v>936.31230000000005</v>
      </c>
      <c r="I18" s="83"/>
      <c r="J18" s="30" t="s">
        <v>19</v>
      </c>
      <c r="K18" s="34" t="s">
        <v>19</v>
      </c>
      <c r="L18" s="1"/>
      <c r="M18" s="1"/>
      <c r="N18" s="1"/>
    </row>
    <row r="19" spans="2:14" s="8" customFormat="1" ht="34.5" customHeight="1" x14ac:dyDescent="0.25">
      <c r="B19" s="87"/>
      <c r="C19" s="89"/>
      <c r="D19" s="89"/>
      <c r="E19" s="80"/>
      <c r="F19" s="80"/>
      <c r="G19" s="30" t="s">
        <v>32</v>
      </c>
      <c r="H19" s="31">
        <v>253.22682</v>
      </c>
      <c r="I19" s="80"/>
      <c r="J19" s="30" t="s">
        <v>19</v>
      </c>
      <c r="K19" s="34" t="s">
        <v>19</v>
      </c>
      <c r="L19" s="1"/>
      <c r="M19" s="1"/>
      <c r="N19" s="1"/>
    </row>
    <row r="20" spans="2:14" s="8" customFormat="1" ht="42" customHeight="1" x14ac:dyDescent="0.25">
      <c r="B20" s="87"/>
      <c r="C20" s="28" t="s">
        <v>33</v>
      </c>
      <c r="D20" s="29" t="s">
        <v>34</v>
      </c>
      <c r="E20" s="30">
        <f>1652600/1000</f>
        <v>1652.6</v>
      </c>
      <c r="F20" s="30">
        <f t="shared" ref="F20" si="2">H20</f>
        <v>1652.6</v>
      </c>
      <c r="G20" s="30" t="s">
        <v>35</v>
      </c>
      <c r="H20" s="31">
        <f>1652600/1000</f>
        <v>1652.6</v>
      </c>
      <c r="I20" s="31" t="str">
        <f t="shared" ref="I20" si="3">K20</f>
        <v>__</v>
      </c>
      <c r="J20" s="30" t="s">
        <v>19</v>
      </c>
      <c r="K20" s="32" t="s">
        <v>19</v>
      </c>
      <c r="L20" s="1"/>
      <c r="M20" s="1"/>
      <c r="N20" s="1"/>
    </row>
    <row r="21" spans="2:14" s="8" customFormat="1" ht="38.25" customHeight="1" thickBot="1" x14ac:dyDescent="0.3">
      <c r="B21" s="87"/>
      <c r="C21" s="94" t="s">
        <v>36</v>
      </c>
      <c r="D21" s="95"/>
      <c r="E21" s="35" t="s">
        <v>19</v>
      </c>
      <c r="F21" s="30" t="str">
        <f>H21</f>
        <v>__</v>
      </c>
      <c r="G21" s="35" t="s">
        <v>19</v>
      </c>
      <c r="H21" s="35" t="s">
        <v>19</v>
      </c>
      <c r="I21" s="30">
        <f>K21</f>
        <v>66.934614999999994</v>
      </c>
      <c r="J21" s="35" t="s">
        <v>19</v>
      </c>
      <c r="K21" s="34">
        <v>66.934614999999994</v>
      </c>
      <c r="L21" s="1"/>
      <c r="M21" s="1"/>
      <c r="N21" s="1"/>
    </row>
    <row r="22" spans="2:14" s="8" customFormat="1" ht="16.5" thickBot="1" x14ac:dyDescent="0.3">
      <c r="B22" s="36" t="s">
        <v>37</v>
      </c>
      <c r="C22" s="37"/>
      <c r="D22" s="37"/>
      <c r="E22" s="37"/>
      <c r="F22" s="38">
        <f>SUM(F7:F21)</f>
        <v>51186.963909999999</v>
      </c>
      <c r="G22" s="39"/>
      <c r="H22" s="38">
        <f>SUM(H7:H21)</f>
        <v>51186.963909999999</v>
      </c>
      <c r="I22" s="38">
        <f>SUM(I7:I21)</f>
        <v>671.35806179999997</v>
      </c>
      <c r="J22" s="38"/>
      <c r="K22" s="40">
        <f>SUM(K7:K21)</f>
        <v>671.35806179999997</v>
      </c>
      <c r="L22" s="1"/>
      <c r="M22" s="1"/>
      <c r="N22" s="1"/>
    </row>
    <row r="23" spans="2:14" s="8" customFormat="1" ht="39" customHeight="1" thickBot="1" x14ac:dyDescent="0.3">
      <c r="B23" s="36" t="s">
        <v>38</v>
      </c>
      <c r="C23" s="37"/>
      <c r="D23" s="37"/>
      <c r="E23" s="37"/>
      <c r="F23" s="38">
        <f>H23</f>
        <v>413.58057168851849</v>
      </c>
      <c r="G23" s="41"/>
      <c r="H23" s="38">
        <f>K23</f>
        <v>413.58057168851849</v>
      </c>
      <c r="I23" s="38">
        <f>K23</f>
        <v>413.58057168851849</v>
      </c>
      <c r="J23" s="41"/>
      <c r="K23" s="40">
        <v>413.58057168851849</v>
      </c>
      <c r="L23" s="1"/>
      <c r="M23" s="1"/>
      <c r="N23" s="1"/>
    </row>
    <row r="24" spans="2:14" s="8" customFormat="1" ht="32.25" thickBot="1" x14ac:dyDescent="0.3">
      <c r="B24" s="36" t="s">
        <v>39</v>
      </c>
      <c r="C24" s="37"/>
      <c r="D24" s="37"/>
      <c r="E24" s="37"/>
      <c r="F24" s="38">
        <f>F22+F23</f>
        <v>51600.544481688514</v>
      </c>
      <c r="G24" s="39"/>
      <c r="H24" s="38">
        <f>H22+H23</f>
        <v>51600.544481688514</v>
      </c>
      <c r="I24" s="38">
        <f>I22+I23</f>
        <v>1084.9386334885185</v>
      </c>
      <c r="J24" s="41"/>
      <c r="K24" s="40">
        <f>K22+K23</f>
        <v>1084.9386334885185</v>
      </c>
      <c r="L24" s="1"/>
      <c r="M24" s="1"/>
      <c r="N24" s="1"/>
    </row>
    <row r="25" spans="2:14" s="8" customFormat="1" ht="16.5" customHeight="1" thickBot="1" x14ac:dyDescent="0.3">
      <c r="B25" s="42"/>
      <c r="C25" s="17"/>
      <c r="D25" s="17"/>
      <c r="E25" s="17"/>
      <c r="F25" s="43" t="s">
        <v>40</v>
      </c>
      <c r="G25" s="17"/>
      <c r="H25" s="17"/>
      <c r="I25" s="17"/>
      <c r="J25" s="17"/>
      <c r="K25" s="18"/>
      <c r="L25" s="1"/>
      <c r="M25" s="1"/>
      <c r="N25" s="1"/>
    </row>
    <row r="26" spans="2:14" s="8" customFormat="1" ht="60" hidden="1" customHeight="1" x14ac:dyDescent="0.25">
      <c r="B26" s="74" t="s">
        <v>41</v>
      </c>
      <c r="C26" s="19"/>
      <c r="D26" s="19"/>
      <c r="E26" s="19"/>
      <c r="F26" s="20"/>
      <c r="G26" s="20"/>
      <c r="H26" s="20"/>
      <c r="I26" s="20"/>
      <c r="J26" s="20"/>
      <c r="K26" s="21"/>
      <c r="L26" s="1"/>
      <c r="M26" s="1"/>
      <c r="N26" s="1"/>
    </row>
    <row r="27" spans="2:14" s="8" customFormat="1" ht="36.75" customHeight="1" x14ac:dyDescent="0.25">
      <c r="B27" s="76"/>
      <c r="C27" s="77" t="s">
        <v>42</v>
      </c>
      <c r="D27" s="77" t="s">
        <v>43</v>
      </c>
      <c r="E27" s="72">
        <v>82000</v>
      </c>
      <c r="F27" s="72">
        <f>SUM(H27:H31)</f>
        <v>818.63490000000002</v>
      </c>
      <c r="G27" s="30" t="s">
        <v>44</v>
      </c>
      <c r="H27" s="30">
        <v>130.99584999999999</v>
      </c>
      <c r="I27" s="72">
        <f>SUM(K27:K31)</f>
        <v>2365.6792574000001</v>
      </c>
      <c r="J27" s="33" t="s">
        <v>45</v>
      </c>
      <c r="K27" s="44">
        <f>130995.8474/1000</f>
        <v>130.9958474</v>
      </c>
      <c r="L27" s="1"/>
      <c r="M27" s="1"/>
      <c r="N27" s="1"/>
    </row>
    <row r="28" spans="2:14" s="8" customFormat="1" ht="36.75" customHeight="1" x14ac:dyDescent="0.25">
      <c r="B28" s="76"/>
      <c r="C28" s="82"/>
      <c r="D28" s="82"/>
      <c r="E28" s="83"/>
      <c r="F28" s="83"/>
      <c r="G28" s="35" t="s">
        <v>46</v>
      </c>
      <c r="H28" s="35">
        <v>651.55920000000003</v>
      </c>
      <c r="I28" s="83"/>
      <c r="J28" s="33" t="s">
        <v>47</v>
      </c>
      <c r="K28" s="44">
        <f>30576.14*1.18/1000</f>
        <v>36.079845199999994</v>
      </c>
      <c r="L28" s="1"/>
      <c r="M28" s="1"/>
      <c r="N28" s="1"/>
    </row>
    <row r="29" spans="2:14" s="8" customFormat="1" ht="36.75" customHeight="1" x14ac:dyDescent="0.25">
      <c r="B29" s="76"/>
      <c r="C29" s="82"/>
      <c r="D29" s="82"/>
      <c r="E29" s="83"/>
      <c r="F29" s="83"/>
      <c r="G29" s="35" t="s">
        <v>48</v>
      </c>
      <c r="H29" s="35">
        <v>36.07985</v>
      </c>
      <c r="I29" s="83"/>
      <c r="J29" s="33" t="s">
        <v>49</v>
      </c>
      <c r="K29" s="32">
        <f>552168.81*1.18/1000</f>
        <v>651.5591958</v>
      </c>
      <c r="L29" s="1"/>
      <c r="M29" s="1"/>
      <c r="N29" s="1"/>
    </row>
    <row r="30" spans="2:14" s="8" customFormat="1" ht="36.75" customHeight="1" x14ac:dyDescent="0.25">
      <c r="B30" s="76"/>
      <c r="C30" s="82"/>
      <c r="D30" s="82"/>
      <c r="E30" s="83"/>
      <c r="F30" s="83"/>
      <c r="G30" s="35" t="s">
        <v>19</v>
      </c>
      <c r="H30" s="35" t="s">
        <v>19</v>
      </c>
      <c r="I30" s="83"/>
      <c r="J30" s="33" t="s">
        <v>50</v>
      </c>
      <c r="K30" s="32">
        <v>505.16762879999999</v>
      </c>
      <c r="L30" s="1"/>
      <c r="M30" s="1"/>
      <c r="N30" s="1"/>
    </row>
    <row r="31" spans="2:14" s="8" customFormat="1" ht="36.75" customHeight="1" x14ac:dyDescent="0.25">
      <c r="B31" s="76"/>
      <c r="C31" s="82"/>
      <c r="D31" s="82"/>
      <c r="E31" s="83"/>
      <c r="F31" s="83"/>
      <c r="G31" s="35" t="s">
        <v>19</v>
      </c>
      <c r="H31" s="35" t="s">
        <v>19</v>
      </c>
      <c r="I31" s="83"/>
      <c r="J31" s="33" t="s">
        <v>51</v>
      </c>
      <c r="K31" s="32">
        <v>1041.8767402000001</v>
      </c>
      <c r="L31" s="1"/>
      <c r="M31" s="1"/>
      <c r="N31" s="1"/>
    </row>
    <row r="32" spans="2:14" s="8" customFormat="1" ht="35.25" customHeight="1" x14ac:dyDescent="0.25">
      <c r="B32" s="76"/>
      <c r="C32" s="77" t="s">
        <v>42</v>
      </c>
      <c r="D32" s="77" t="s">
        <v>52</v>
      </c>
      <c r="E32" s="72">
        <f>7700000/1000</f>
        <v>7700</v>
      </c>
      <c r="F32" s="72">
        <f>SUM(H32:H37)</f>
        <v>1633.5040799999999</v>
      </c>
      <c r="G32" s="35" t="s">
        <v>53</v>
      </c>
      <c r="H32" s="35">
        <f>513728.95/1000</f>
        <v>513.72895000000005</v>
      </c>
      <c r="I32" s="72">
        <f>SUM(K32:K37)</f>
        <v>4.0248147999999997</v>
      </c>
      <c r="J32" s="33" t="s">
        <v>54</v>
      </c>
      <c r="K32" s="45">
        <f>4024.8148/1000</f>
        <v>4.0248147999999997</v>
      </c>
      <c r="L32" s="1"/>
      <c r="M32" s="1"/>
      <c r="N32" s="1"/>
    </row>
    <row r="33" spans="2:14" s="8" customFormat="1" ht="35.25" customHeight="1" x14ac:dyDescent="0.25">
      <c r="B33" s="76"/>
      <c r="C33" s="82"/>
      <c r="D33" s="82"/>
      <c r="E33" s="83"/>
      <c r="F33" s="83"/>
      <c r="G33" s="35" t="s">
        <v>55</v>
      </c>
      <c r="H33" s="35">
        <f>100040.74/1000</f>
        <v>100.04074</v>
      </c>
      <c r="I33" s="83"/>
      <c r="J33" s="33" t="s">
        <v>19</v>
      </c>
      <c r="K33" s="32" t="s">
        <v>19</v>
      </c>
      <c r="L33" s="1"/>
      <c r="M33" s="1"/>
      <c r="N33" s="1"/>
    </row>
    <row r="34" spans="2:14" s="8" customFormat="1" ht="35.25" customHeight="1" x14ac:dyDescent="0.25">
      <c r="B34" s="76"/>
      <c r="C34" s="82"/>
      <c r="D34" s="82"/>
      <c r="E34" s="83"/>
      <c r="F34" s="83"/>
      <c r="G34" s="35" t="s">
        <v>56</v>
      </c>
      <c r="H34" s="35">
        <f>73031.03/1000</f>
        <v>73.031030000000001</v>
      </c>
      <c r="I34" s="83"/>
      <c r="J34" s="46" t="s">
        <v>19</v>
      </c>
      <c r="K34" s="32" t="s">
        <v>19</v>
      </c>
      <c r="L34" s="1"/>
      <c r="M34" s="1"/>
      <c r="N34" s="1"/>
    </row>
    <row r="35" spans="2:14" s="8" customFormat="1" ht="35.25" customHeight="1" x14ac:dyDescent="0.25">
      <c r="B35" s="76"/>
      <c r="C35" s="82"/>
      <c r="D35" s="82"/>
      <c r="E35" s="83"/>
      <c r="F35" s="83"/>
      <c r="G35" s="35" t="s">
        <v>57</v>
      </c>
      <c r="H35" s="35">
        <f>122959.86/1000</f>
        <v>122.95986000000001</v>
      </c>
      <c r="I35" s="83"/>
      <c r="J35" s="46" t="s">
        <v>19</v>
      </c>
      <c r="K35" s="32" t="s">
        <v>19</v>
      </c>
      <c r="L35" s="1"/>
      <c r="M35" s="1"/>
      <c r="N35" s="1"/>
    </row>
    <row r="36" spans="2:14" s="8" customFormat="1" ht="35.25" customHeight="1" x14ac:dyDescent="0.25">
      <c r="B36" s="76"/>
      <c r="C36" s="82"/>
      <c r="D36" s="82"/>
      <c r="E36" s="83"/>
      <c r="F36" s="83"/>
      <c r="G36" s="35" t="s">
        <v>58</v>
      </c>
      <c r="H36" s="35">
        <f>819718.69/1000</f>
        <v>819.71868999999992</v>
      </c>
      <c r="I36" s="83"/>
      <c r="J36" s="46" t="s">
        <v>19</v>
      </c>
      <c r="K36" s="32" t="s">
        <v>19</v>
      </c>
      <c r="L36" s="1"/>
      <c r="M36" s="1"/>
      <c r="N36" s="1"/>
    </row>
    <row r="37" spans="2:14" s="8" customFormat="1" ht="35.25" customHeight="1" x14ac:dyDescent="0.25">
      <c r="B37" s="76"/>
      <c r="C37" s="82"/>
      <c r="D37" s="82"/>
      <c r="E37" s="83"/>
      <c r="F37" s="83"/>
      <c r="G37" s="35" t="s">
        <v>59</v>
      </c>
      <c r="H37" s="35">
        <v>4.0248100000000004</v>
      </c>
      <c r="I37" s="83"/>
      <c r="J37" s="46" t="s">
        <v>19</v>
      </c>
      <c r="K37" s="32" t="s">
        <v>19</v>
      </c>
      <c r="L37" s="1"/>
      <c r="M37" s="1"/>
      <c r="N37" s="1"/>
    </row>
    <row r="38" spans="2:14" s="8" customFormat="1" ht="35.25" customHeight="1" x14ac:dyDescent="0.25">
      <c r="B38" s="76"/>
      <c r="C38" s="77" t="s">
        <v>60</v>
      </c>
      <c r="D38" s="77" t="s">
        <v>61</v>
      </c>
      <c r="E38" s="72">
        <f>143412108/1000</f>
        <v>143412.10800000001</v>
      </c>
      <c r="F38" s="72">
        <f>SUM(H38:H46)</f>
        <v>41919.186730000001</v>
      </c>
      <c r="G38" s="35" t="s">
        <v>62</v>
      </c>
      <c r="H38" s="35">
        <f>16086573.81/1000</f>
        <v>16086.57381</v>
      </c>
      <c r="I38" s="72">
        <f>SUM(K38:K46)</f>
        <v>0</v>
      </c>
      <c r="J38" s="46" t="s">
        <v>19</v>
      </c>
      <c r="K38" s="34" t="s">
        <v>19</v>
      </c>
      <c r="L38" s="1"/>
      <c r="M38" s="1"/>
      <c r="N38" s="1"/>
    </row>
    <row r="39" spans="2:14" s="8" customFormat="1" ht="41.25" customHeight="1" x14ac:dyDescent="0.25">
      <c r="B39" s="76"/>
      <c r="C39" s="82"/>
      <c r="D39" s="82"/>
      <c r="E39" s="83"/>
      <c r="F39" s="83"/>
      <c r="G39" s="35" t="s">
        <v>63</v>
      </c>
      <c r="H39" s="35">
        <f>292539.95/1000</f>
        <v>292.53995000000003</v>
      </c>
      <c r="I39" s="83"/>
      <c r="J39" s="46" t="s">
        <v>19</v>
      </c>
      <c r="K39" s="34" t="s">
        <v>19</v>
      </c>
      <c r="L39" s="1"/>
      <c r="M39" s="1"/>
      <c r="N39" s="1"/>
    </row>
    <row r="40" spans="2:14" s="8" customFormat="1" ht="31.5" customHeight="1" x14ac:dyDescent="0.25">
      <c r="B40" s="76"/>
      <c r="C40" s="82"/>
      <c r="D40" s="82"/>
      <c r="E40" s="83"/>
      <c r="F40" s="83"/>
      <c r="G40" s="35" t="s">
        <v>64</v>
      </c>
      <c r="H40" s="35">
        <v>636.48311999999999</v>
      </c>
      <c r="I40" s="83"/>
      <c r="J40" s="46" t="s">
        <v>19</v>
      </c>
      <c r="K40" s="34" t="s">
        <v>19</v>
      </c>
      <c r="L40" s="1"/>
      <c r="M40" s="1"/>
      <c r="N40" s="1"/>
    </row>
    <row r="41" spans="2:14" s="8" customFormat="1" ht="31.5" customHeight="1" x14ac:dyDescent="0.25">
      <c r="B41" s="76"/>
      <c r="C41" s="82"/>
      <c r="D41" s="82"/>
      <c r="E41" s="83"/>
      <c r="F41" s="83"/>
      <c r="G41" s="72" t="s">
        <v>65</v>
      </c>
      <c r="H41" s="35">
        <v>1196.35187</v>
      </c>
      <c r="I41" s="83"/>
      <c r="J41" s="46" t="s">
        <v>19</v>
      </c>
      <c r="K41" s="34" t="s">
        <v>19</v>
      </c>
      <c r="L41" s="1"/>
      <c r="M41" s="1"/>
      <c r="N41" s="1"/>
    </row>
    <row r="42" spans="2:14" s="8" customFormat="1" ht="31.5" customHeight="1" x14ac:dyDescent="0.25">
      <c r="B42" s="76"/>
      <c r="C42" s="82"/>
      <c r="D42" s="82"/>
      <c r="E42" s="83"/>
      <c r="F42" s="83"/>
      <c r="G42" s="80"/>
      <c r="H42" s="35">
        <v>622.94609000000003</v>
      </c>
      <c r="I42" s="83"/>
      <c r="J42" s="46" t="s">
        <v>19</v>
      </c>
      <c r="K42" s="34" t="s">
        <v>19</v>
      </c>
      <c r="L42" s="1"/>
      <c r="M42" s="1"/>
      <c r="N42" s="1"/>
    </row>
    <row r="43" spans="2:14" s="8" customFormat="1" ht="31.5" customHeight="1" x14ac:dyDescent="0.25">
      <c r="B43" s="76"/>
      <c r="C43" s="82"/>
      <c r="D43" s="82"/>
      <c r="E43" s="83"/>
      <c r="F43" s="83"/>
      <c r="G43" s="35" t="s">
        <v>66</v>
      </c>
      <c r="H43" s="35">
        <v>2955.7913199999998</v>
      </c>
      <c r="I43" s="83"/>
      <c r="J43" s="46" t="s">
        <v>19</v>
      </c>
      <c r="K43" s="34" t="s">
        <v>19</v>
      </c>
      <c r="L43" s="1"/>
      <c r="M43" s="1"/>
      <c r="N43" s="1"/>
    </row>
    <row r="44" spans="2:14" s="8" customFormat="1" ht="31.5" customHeight="1" x14ac:dyDescent="0.25">
      <c r="B44" s="76"/>
      <c r="C44" s="82"/>
      <c r="D44" s="82"/>
      <c r="E44" s="83"/>
      <c r="F44" s="83"/>
      <c r="G44" s="35" t="s">
        <v>67</v>
      </c>
      <c r="H44" s="35">
        <v>3937.3973700000001</v>
      </c>
      <c r="I44" s="83"/>
      <c r="J44" s="46" t="s">
        <v>19</v>
      </c>
      <c r="K44" s="34" t="s">
        <v>19</v>
      </c>
      <c r="L44" s="1"/>
      <c r="M44" s="1"/>
      <c r="N44" s="1"/>
    </row>
    <row r="45" spans="2:14" s="8" customFormat="1" ht="31.5" customHeight="1" x14ac:dyDescent="0.25">
      <c r="B45" s="76"/>
      <c r="C45" s="82"/>
      <c r="D45" s="82"/>
      <c r="E45" s="83"/>
      <c r="F45" s="83"/>
      <c r="G45" s="35" t="s">
        <v>68</v>
      </c>
      <c r="H45" s="35">
        <v>7794.63627</v>
      </c>
      <c r="I45" s="83"/>
      <c r="J45" s="46" t="s">
        <v>19</v>
      </c>
      <c r="K45" s="34" t="s">
        <v>19</v>
      </c>
      <c r="L45" s="1"/>
      <c r="M45" s="1"/>
      <c r="N45" s="1"/>
    </row>
    <row r="46" spans="2:14" s="8" customFormat="1" ht="31.5" customHeight="1" thickBot="1" x14ac:dyDescent="0.3">
      <c r="B46" s="75"/>
      <c r="C46" s="78"/>
      <c r="D46" s="78"/>
      <c r="E46" s="73"/>
      <c r="F46" s="73"/>
      <c r="G46" s="25" t="s">
        <v>69</v>
      </c>
      <c r="H46" s="25">
        <v>8396.4669300000005</v>
      </c>
      <c r="I46" s="73"/>
      <c r="J46" s="47" t="s">
        <v>19</v>
      </c>
      <c r="K46" s="26" t="s">
        <v>19</v>
      </c>
      <c r="L46" s="1"/>
      <c r="M46" s="1"/>
      <c r="N46" s="1"/>
    </row>
    <row r="47" spans="2:14" s="8" customFormat="1" ht="30" hidden="1" customHeight="1" x14ac:dyDescent="0.25">
      <c r="B47" s="74" t="s">
        <v>70</v>
      </c>
      <c r="C47" s="48"/>
      <c r="D47" s="48"/>
      <c r="E47" s="49"/>
      <c r="F47" s="20"/>
      <c r="G47" s="20"/>
      <c r="H47" s="20"/>
      <c r="I47" s="20"/>
      <c r="J47" s="20"/>
      <c r="K47" s="21"/>
      <c r="L47" s="1"/>
      <c r="M47" s="1"/>
      <c r="N47" s="1"/>
    </row>
    <row r="48" spans="2:14" s="8" customFormat="1" ht="38.25" customHeight="1" x14ac:dyDescent="0.25">
      <c r="B48" s="76"/>
      <c r="C48" s="77" t="s">
        <v>71</v>
      </c>
      <c r="D48" s="90" t="s">
        <v>72</v>
      </c>
      <c r="E48" s="72">
        <v>76117.5</v>
      </c>
      <c r="F48" s="72">
        <f>SUM(H48:H49)</f>
        <v>18686.76355</v>
      </c>
      <c r="G48" s="30" t="s">
        <v>73</v>
      </c>
      <c r="H48" s="30">
        <v>18686.76355</v>
      </c>
      <c r="I48" s="72">
        <f>SUM(K48:K49)</f>
        <v>13222.047440999999</v>
      </c>
      <c r="J48" s="33" t="s">
        <v>74</v>
      </c>
      <c r="K48" s="32">
        <f>1581261.2*1.18/1000</f>
        <v>1865.8882159999998</v>
      </c>
      <c r="L48" s="1"/>
      <c r="M48" s="1"/>
      <c r="N48" s="1"/>
    </row>
    <row r="49" spans="1:14" s="8" customFormat="1" ht="38.25" customHeight="1" x14ac:dyDescent="0.25">
      <c r="B49" s="76"/>
      <c r="C49" s="89"/>
      <c r="D49" s="91"/>
      <c r="E49" s="80"/>
      <c r="F49" s="80"/>
      <c r="G49" s="35" t="s">
        <v>19</v>
      </c>
      <c r="H49" s="35" t="s">
        <v>19</v>
      </c>
      <c r="I49" s="80"/>
      <c r="J49" s="33" t="s">
        <v>75</v>
      </c>
      <c r="K49" s="34">
        <v>11356.159224999999</v>
      </c>
      <c r="L49" s="1"/>
      <c r="M49" s="1"/>
      <c r="N49" s="1"/>
    </row>
    <row r="50" spans="1:14" s="8" customFormat="1" ht="48" customHeight="1" thickBot="1" x14ac:dyDescent="0.3">
      <c r="B50" s="75"/>
      <c r="C50" s="92" t="s">
        <v>76</v>
      </c>
      <c r="D50" s="93"/>
      <c r="E50" s="25" t="s">
        <v>19</v>
      </c>
      <c r="F50" s="25" t="str">
        <f>H50</f>
        <v>__</v>
      </c>
      <c r="G50" s="25" t="s">
        <v>19</v>
      </c>
      <c r="H50" s="25" t="s">
        <v>19</v>
      </c>
      <c r="I50" s="25">
        <f>K50</f>
        <v>20560.291975</v>
      </c>
      <c r="J50" s="25" t="s">
        <v>19</v>
      </c>
      <c r="K50" s="26">
        <f>541.66779+19644.6171198+374.0070652</f>
        <v>20560.291975</v>
      </c>
      <c r="L50" s="1"/>
      <c r="M50" s="1"/>
      <c r="N50" s="1"/>
    </row>
    <row r="51" spans="1:14" s="8" customFormat="1" ht="45" hidden="1" customHeight="1" x14ac:dyDescent="0.25">
      <c r="B51" s="86" t="s">
        <v>77</v>
      </c>
      <c r="C51" s="19"/>
      <c r="D51" s="27"/>
      <c r="E51" s="20"/>
      <c r="F51" s="20"/>
      <c r="G51" s="19"/>
      <c r="H51" s="20"/>
      <c r="I51" s="50"/>
      <c r="J51" s="20"/>
      <c r="K51" s="21"/>
      <c r="L51" s="1"/>
      <c r="M51" s="1"/>
      <c r="N51" s="1"/>
    </row>
    <row r="52" spans="1:14" s="8" customFormat="1" ht="66.75" customHeight="1" thickBot="1" x14ac:dyDescent="0.3">
      <c r="B52" s="87"/>
      <c r="C52" s="51" t="s">
        <v>78</v>
      </c>
      <c r="D52" s="51" t="s">
        <v>79</v>
      </c>
      <c r="E52" s="52">
        <f>1445500/1000</f>
        <v>1445.5</v>
      </c>
      <c r="F52" s="52">
        <f>SUM(H52:H52)</f>
        <v>335.86793</v>
      </c>
      <c r="G52" s="30" t="s">
        <v>80</v>
      </c>
      <c r="H52" s="31">
        <f>335867.93/1000</f>
        <v>335.86793</v>
      </c>
      <c r="I52" s="52">
        <f>SUM(K52:K52)</f>
        <v>0</v>
      </c>
      <c r="J52" s="30" t="s">
        <v>19</v>
      </c>
      <c r="K52" s="32" t="s">
        <v>19</v>
      </c>
      <c r="L52" s="1"/>
      <c r="M52" s="1"/>
      <c r="N52" s="1"/>
    </row>
    <row r="53" spans="1:14" s="8" customFormat="1" ht="59.25" customHeight="1" x14ac:dyDescent="0.25">
      <c r="B53" s="86" t="s">
        <v>81</v>
      </c>
      <c r="C53" s="19" t="s">
        <v>82</v>
      </c>
      <c r="D53" s="19" t="s">
        <v>83</v>
      </c>
      <c r="E53" s="20">
        <f>8181813.14/1000</f>
        <v>8181.8131399999993</v>
      </c>
      <c r="F53" s="20">
        <f>SUM(H53:H53)</f>
        <v>0</v>
      </c>
      <c r="G53" s="19" t="s">
        <v>19</v>
      </c>
      <c r="H53" s="20" t="s">
        <v>19</v>
      </c>
      <c r="I53" s="20">
        <f>SUM(K53:K53)</f>
        <v>0</v>
      </c>
      <c r="J53" s="19" t="s">
        <v>19</v>
      </c>
      <c r="K53" s="21" t="s">
        <v>19</v>
      </c>
      <c r="L53" s="1"/>
      <c r="M53" s="1"/>
      <c r="N53" s="1"/>
    </row>
    <row r="54" spans="1:14" s="8" customFormat="1" ht="50.25" customHeight="1" thickBot="1" x14ac:dyDescent="0.3">
      <c r="B54" s="88"/>
      <c r="C54" s="53" t="s">
        <v>84</v>
      </c>
      <c r="D54" s="53" t="s">
        <v>85</v>
      </c>
      <c r="E54" s="25">
        <f>514893.6/1000</f>
        <v>514.89359999999999</v>
      </c>
      <c r="F54" s="25">
        <f t="shared" ref="F54" si="4">H54</f>
        <v>514.89359999999999</v>
      </c>
      <c r="G54" s="53" t="s">
        <v>86</v>
      </c>
      <c r="H54" s="54">
        <f>514893.6/1000</f>
        <v>514.89359999999999</v>
      </c>
      <c r="I54" s="25"/>
      <c r="J54" s="53" t="s">
        <v>19</v>
      </c>
      <c r="K54" s="26" t="s">
        <v>19</v>
      </c>
      <c r="L54" s="1"/>
      <c r="M54" s="1"/>
      <c r="N54" s="1"/>
    </row>
    <row r="55" spans="1:14" s="8" customFormat="1" ht="42.75" hidden="1" customHeight="1" x14ac:dyDescent="0.25">
      <c r="B55" s="86" t="s">
        <v>87</v>
      </c>
      <c r="C55" s="48"/>
      <c r="D55" s="55"/>
      <c r="E55" s="48"/>
      <c r="F55" s="49"/>
      <c r="G55" s="19"/>
      <c r="H55" s="56"/>
      <c r="I55" s="57"/>
      <c r="J55" s="48" t="s">
        <v>19</v>
      </c>
      <c r="K55" s="58" t="s">
        <v>19</v>
      </c>
      <c r="L55" s="1"/>
      <c r="M55" s="1"/>
      <c r="N55" s="1"/>
    </row>
    <row r="56" spans="1:14" s="8" customFormat="1" ht="75" customHeight="1" thickBot="1" x14ac:dyDescent="0.3">
      <c r="B56" s="88"/>
      <c r="C56" s="59" t="s">
        <v>88</v>
      </c>
      <c r="D56" s="22" t="s">
        <v>89</v>
      </c>
      <c r="E56" s="25">
        <v>1986</v>
      </c>
      <c r="F56" s="60">
        <f>SUM(H56)</f>
        <v>1986</v>
      </c>
      <c r="G56" s="53" t="s">
        <v>90</v>
      </c>
      <c r="H56" s="54">
        <v>1986</v>
      </c>
      <c r="I56" s="60">
        <f>SUM(K56)</f>
        <v>0</v>
      </c>
      <c r="J56" s="53" t="s">
        <v>19</v>
      </c>
      <c r="K56" s="26" t="s">
        <v>19</v>
      </c>
      <c r="L56" s="1"/>
      <c r="M56" s="1"/>
      <c r="N56" s="1"/>
    </row>
    <row r="57" spans="1:14" ht="45" customHeight="1" x14ac:dyDescent="0.25">
      <c r="A57" s="8"/>
      <c r="B57" s="74" t="s">
        <v>91</v>
      </c>
      <c r="C57" s="81" t="s">
        <v>92</v>
      </c>
      <c r="D57" s="81" t="s">
        <v>93</v>
      </c>
      <c r="E57" s="79">
        <v>118900</v>
      </c>
      <c r="F57" s="79">
        <f>SUM(H57:H59)</f>
        <v>8639.8608800000002</v>
      </c>
      <c r="G57" s="19" t="s">
        <v>94</v>
      </c>
      <c r="H57" s="56">
        <v>1500</v>
      </c>
      <c r="I57" s="79">
        <f>SUM(K57:K59)</f>
        <v>4430.8645999999999</v>
      </c>
      <c r="J57" s="61" t="s">
        <v>95</v>
      </c>
      <c r="K57" s="21">
        <f>3754970*1.18/1000</f>
        <v>4430.8645999999999</v>
      </c>
    </row>
    <row r="58" spans="1:14" ht="45" customHeight="1" x14ac:dyDescent="0.25">
      <c r="A58" s="8"/>
      <c r="B58" s="76"/>
      <c r="C58" s="82"/>
      <c r="D58" s="82"/>
      <c r="E58" s="83"/>
      <c r="F58" s="83"/>
      <c r="G58" s="62" t="s">
        <v>96</v>
      </c>
      <c r="H58" s="63">
        <v>2708.9962799999998</v>
      </c>
      <c r="I58" s="83"/>
      <c r="J58" s="46" t="s">
        <v>19</v>
      </c>
      <c r="K58" s="64" t="s">
        <v>19</v>
      </c>
    </row>
    <row r="59" spans="1:14" ht="45" customHeight="1" thickBot="1" x14ac:dyDescent="0.3">
      <c r="A59" s="8"/>
      <c r="B59" s="76"/>
      <c r="C59" s="82"/>
      <c r="D59" s="82"/>
      <c r="E59" s="83"/>
      <c r="F59" s="83"/>
      <c r="G59" s="62" t="s">
        <v>97</v>
      </c>
      <c r="H59" s="30">
        <v>4430.8645999999999</v>
      </c>
      <c r="I59" s="83"/>
      <c r="J59" s="30" t="s">
        <v>19</v>
      </c>
      <c r="K59" s="45" t="s">
        <v>19</v>
      </c>
    </row>
    <row r="60" spans="1:14" ht="36.75" customHeight="1" x14ac:dyDescent="0.25">
      <c r="A60" s="8"/>
      <c r="B60" s="74" t="s">
        <v>98</v>
      </c>
      <c r="C60" s="81" t="s">
        <v>99</v>
      </c>
      <c r="D60" s="81" t="s">
        <v>100</v>
      </c>
      <c r="E60" s="79">
        <v>7619.37</v>
      </c>
      <c r="F60" s="79">
        <f>SUM(H60:H63)</f>
        <v>3434.7524900000003</v>
      </c>
      <c r="G60" s="19" t="s">
        <v>101</v>
      </c>
      <c r="H60" s="56">
        <f>649436.5/1000</f>
        <v>649.43650000000002</v>
      </c>
      <c r="I60" s="79">
        <f>SUM(K60:K63)</f>
        <v>3429.5143225999996</v>
      </c>
      <c r="J60" s="79" t="s">
        <v>102</v>
      </c>
      <c r="K60" s="65">
        <f>2175878.11*1.18/1000</f>
        <v>2567.5361697999997</v>
      </c>
    </row>
    <row r="61" spans="1:14" ht="36.75" customHeight="1" x14ac:dyDescent="0.25">
      <c r="A61" s="8"/>
      <c r="B61" s="76"/>
      <c r="C61" s="82"/>
      <c r="D61" s="82"/>
      <c r="E61" s="83"/>
      <c r="F61" s="83"/>
      <c r="G61" s="62" t="s">
        <v>103</v>
      </c>
      <c r="H61" s="63">
        <f>198557.68/1000</f>
        <v>198.55768</v>
      </c>
      <c r="I61" s="83"/>
      <c r="J61" s="80"/>
      <c r="K61" s="64">
        <f>19222.141/1000</f>
        <v>19.222141000000001</v>
      </c>
    </row>
    <row r="62" spans="1:14" ht="45" customHeight="1" x14ac:dyDescent="0.25">
      <c r="A62" s="8"/>
      <c r="B62" s="76"/>
      <c r="C62" s="82"/>
      <c r="D62" s="82"/>
      <c r="E62" s="83"/>
      <c r="F62" s="83"/>
      <c r="G62" s="62" t="s">
        <v>104</v>
      </c>
      <c r="H62" s="63">
        <v>2586.7583100000002</v>
      </c>
      <c r="I62" s="83"/>
      <c r="J62" s="72" t="s">
        <v>105</v>
      </c>
      <c r="K62" s="64">
        <v>780.10994159999996</v>
      </c>
    </row>
    <row r="63" spans="1:14" ht="36.75" customHeight="1" thickBot="1" x14ac:dyDescent="0.3">
      <c r="A63" s="8"/>
      <c r="B63" s="76"/>
      <c r="C63" s="82"/>
      <c r="D63" s="82"/>
      <c r="E63" s="83"/>
      <c r="F63" s="83"/>
      <c r="G63" s="28" t="s">
        <v>19</v>
      </c>
      <c r="H63" s="30" t="s">
        <v>19</v>
      </c>
      <c r="I63" s="83"/>
      <c r="J63" s="80"/>
      <c r="K63" s="45">
        <v>62.646070199999997</v>
      </c>
    </row>
    <row r="64" spans="1:14" ht="45" customHeight="1" x14ac:dyDescent="0.25">
      <c r="A64" s="8"/>
      <c r="B64" s="74" t="s">
        <v>106</v>
      </c>
      <c r="C64" s="81" t="s">
        <v>107</v>
      </c>
      <c r="D64" s="81" t="s">
        <v>108</v>
      </c>
      <c r="E64" s="79">
        <v>6769.35</v>
      </c>
      <c r="F64" s="84">
        <f>SUM(H64:H66)</f>
        <v>2783.8772600000002</v>
      </c>
      <c r="G64" s="19" t="s">
        <v>109</v>
      </c>
      <c r="H64" s="56">
        <f>79484.74/1000</f>
        <v>79.484740000000002</v>
      </c>
      <c r="I64" s="84">
        <f>SUM(K64:K66)</f>
        <v>2007.2642519999999</v>
      </c>
      <c r="J64" s="79" t="s">
        <v>102</v>
      </c>
      <c r="K64" s="65">
        <f>1651360.6*1.18/1000</f>
        <v>1948.6055079999999</v>
      </c>
    </row>
    <row r="65" spans="1:14" ht="45" customHeight="1" x14ac:dyDescent="0.25">
      <c r="A65" s="8"/>
      <c r="B65" s="76"/>
      <c r="C65" s="82"/>
      <c r="D65" s="82"/>
      <c r="E65" s="83"/>
      <c r="F65" s="85"/>
      <c r="G65" s="62" t="s">
        <v>110</v>
      </c>
      <c r="H65" s="63">
        <f>697128.27/1000</f>
        <v>697.12827000000004</v>
      </c>
      <c r="I65" s="85"/>
      <c r="J65" s="80"/>
      <c r="K65" s="64">
        <f>58658.744/1000</f>
        <v>58.658743999999999</v>
      </c>
    </row>
    <row r="66" spans="1:14" ht="45" customHeight="1" thickBot="1" x14ac:dyDescent="0.3">
      <c r="A66" s="8"/>
      <c r="B66" s="76"/>
      <c r="C66" s="82"/>
      <c r="D66" s="82"/>
      <c r="E66" s="83"/>
      <c r="F66" s="85"/>
      <c r="G66" s="62" t="s">
        <v>111</v>
      </c>
      <c r="H66" s="63">
        <v>2007.2642499999999</v>
      </c>
      <c r="I66" s="85"/>
      <c r="J66" s="30" t="s">
        <v>19</v>
      </c>
      <c r="K66" s="64" t="s">
        <v>19</v>
      </c>
    </row>
    <row r="67" spans="1:14" ht="48.75" customHeight="1" x14ac:dyDescent="0.25">
      <c r="A67" s="8"/>
      <c r="B67" s="74" t="s">
        <v>112</v>
      </c>
      <c r="C67" s="48" t="s">
        <v>113</v>
      </c>
      <c r="D67" s="48" t="s">
        <v>114</v>
      </c>
      <c r="E67" s="49">
        <f>12730535.39/1000</f>
        <v>12730.535390000001</v>
      </c>
      <c r="F67" s="49">
        <f>SUM(H67:H67)</f>
        <v>3384.1592099999998</v>
      </c>
      <c r="G67" s="19" t="s">
        <v>115</v>
      </c>
      <c r="H67" s="20">
        <f>3384159.21/1000</f>
        <v>3384.1592099999998</v>
      </c>
      <c r="I67" s="49">
        <f>SUM(K67:K67)</f>
        <v>0</v>
      </c>
      <c r="J67" s="20" t="s">
        <v>19</v>
      </c>
      <c r="K67" s="21" t="s">
        <v>19</v>
      </c>
    </row>
    <row r="68" spans="1:14" ht="75.75" customHeight="1" thickBot="1" x14ac:dyDescent="0.3">
      <c r="A68" s="8"/>
      <c r="B68" s="75"/>
      <c r="C68" s="22" t="s">
        <v>113</v>
      </c>
      <c r="D68" s="22" t="s">
        <v>116</v>
      </c>
      <c r="E68" s="24">
        <v>19677.026999999998</v>
      </c>
      <c r="F68" s="24">
        <f>SUM(H68:H68)</f>
        <v>7747.4874499999996</v>
      </c>
      <c r="G68" s="53" t="s">
        <v>117</v>
      </c>
      <c r="H68" s="54">
        <v>7747.4874499999996</v>
      </c>
      <c r="I68" s="24">
        <f>SUM(K68:K68)</f>
        <v>0</v>
      </c>
      <c r="J68" s="25" t="s">
        <v>19</v>
      </c>
      <c r="K68" s="66" t="s">
        <v>19</v>
      </c>
    </row>
    <row r="69" spans="1:14" ht="48.75" hidden="1" customHeight="1" x14ac:dyDescent="0.25">
      <c r="A69" s="8"/>
      <c r="B69" s="74" t="s">
        <v>118</v>
      </c>
      <c r="C69" s="19"/>
      <c r="D69" s="27"/>
      <c r="E69" s="20"/>
      <c r="F69" s="20"/>
      <c r="G69" s="19"/>
      <c r="H69" s="20"/>
      <c r="I69" s="20"/>
      <c r="J69" s="20" t="s">
        <v>19</v>
      </c>
      <c r="K69" s="21" t="s">
        <v>19</v>
      </c>
    </row>
    <row r="70" spans="1:14" ht="33.75" customHeight="1" x14ac:dyDescent="0.25">
      <c r="A70" s="8"/>
      <c r="B70" s="76"/>
      <c r="C70" s="77" t="s">
        <v>119</v>
      </c>
      <c r="D70" s="77" t="s">
        <v>120</v>
      </c>
      <c r="E70" s="72">
        <v>5063.8999999999996</v>
      </c>
      <c r="F70" s="72">
        <f>SUM(H70:H71)</f>
        <v>4169.2383799999998</v>
      </c>
      <c r="G70" s="28" t="s">
        <v>121</v>
      </c>
      <c r="H70" s="30">
        <f>3215238.38/1000</f>
        <v>3215.2383799999998</v>
      </c>
      <c r="I70" s="72">
        <f>SUM(K70:K71)</f>
        <v>0</v>
      </c>
      <c r="J70" s="30" t="s">
        <v>19</v>
      </c>
      <c r="K70" s="32" t="s">
        <v>19</v>
      </c>
    </row>
    <row r="71" spans="1:14" ht="33.75" customHeight="1" thickBot="1" x14ac:dyDescent="0.3">
      <c r="A71" s="8"/>
      <c r="B71" s="75"/>
      <c r="C71" s="78"/>
      <c r="D71" s="78"/>
      <c r="E71" s="73"/>
      <c r="F71" s="73"/>
      <c r="G71" s="53" t="s">
        <v>122</v>
      </c>
      <c r="H71" s="25">
        <f>954000/1000</f>
        <v>954</v>
      </c>
      <c r="I71" s="73"/>
      <c r="J71" s="24" t="s">
        <v>19</v>
      </c>
      <c r="K71" s="26" t="s">
        <v>19</v>
      </c>
    </row>
    <row r="72" spans="1:14" s="8" customFormat="1" ht="42.75" customHeight="1" thickBot="1" x14ac:dyDescent="0.3">
      <c r="B72" s="67" t="s">
        <v>123</v>
      </c>
      <c r="C72" s="48" t="s">
        <v>124</v>
      </c>
      <c r="D72" s="55" t="s">
        <v>125</v>
      </c>
      <c r="E72" s="49">
        <v>692.40700000000004</v>
      </c>
      <c r="F72" s="49">
        <f>SUM(H72:H72)</f>
        <v>344.08287999999999</v>
      </c>
      <c r="G72" s="19" t="s">
        <v>126</v>
      </c>
      <c r="H72" s="20">
        <f>344082.88/1000</f>
        <v>344.08287999999999</v>
      </c>
      <c r="I72" s="49">
        <f>SUM(K72:K72)</f>
        <v>0</v>
      </c>
      <c r="J72" s="19" t="s">
        <v>19</v>
      </c>
      <c r="K72" s="21" t="s">
        <v>19</v>
      </c>
      <c r="L72" s="1"/>
      <c r="M72" s="1"/>
      <c r="N72" s="1"/>
    </row>
    <row r="73" spans="1:14" s="8" customFormat="1" ht="16.5" customHeight="1" thickBot="1" x14ac:dyDescent="0.3">
      <c r="B73" s="36" t="s">
        <v>127</v>
      </c>
      <c r="C73" s="37"/>
      <c r="D73" s="37"/>
      <c r="E73" s="37"/>
      <c r="F73" s="38">
        <f>SUM(F26:F72)</f>
        <v>96398.309340000007</v>
      </c>
      <c r="G73" s="41"/>
      <c r="H73" s="38">
        <f>SUM(H26:H72)</f>
        <v>96398.309339999993</v>
      </c>
      <c r="I73" s="38">
        <f>SUM(I26:I72)</f>
        <v>46019.686662799999</v>
      </c>
      <c r="J73" s="41"/>
      <c r="K73" s="40">
        <f>SUM(K26:K72)</f>
        <v>46019.686662799992</v>
      </c>
      <c r="L73" s="1"/>
      <c r="M73" s="1"/>
      <c r="N73" s="1"/>
    </row>
    <row r="74" spans="1:14" s="8" customFormat="1" ht="36.75" customHeight="1" thickBot="1" x14ac:dyDescent="0.3">
      <c r="B74" s="36" t="s">
        <v>128</v>
      </c>
      <c r="C74" s="37"/>
      <c r="D74" s="37"/>
      <c r="E74" s="37"/>
      <c r="F74" s="38">
        <f>H74</f>
        <v>8082.4768983160839</v>
      </c>
      <c r="G74" s="39"/>
      <c r="H74" s="38">
        <f>K74</f>
        <v>8082.4768983160839</v>
      </c>
      <c r="I74" s="38">
        <f>K74</f>
        <v>8082.4768983160839</v>
      </c>
      <c r="J74" s="41"/>
      <c r="K74" s="40">
        <v>8082.4768983160839</v>
      </c>
      <c r="L74" s="1"/>
      <c r="M74" s="1"/>
      <c r="N74" s="1"/>
    </row>
    <row r="75" spans="1:14" s="8" customFormat="1" ht="32.25" thickBot="1" x14ac:dyDescent="0.3">
      <c r="B75" s="36" t="s">
        <v>129</v>
      </c>
      <c r="C75" s="37"/>
      <c r="D75" s="37"/>
      <c r="E75" s="37"/>
      <c r="F75" s="38">
        <f>F73+F74</f>
        <v>104480.7862383161</v>
      </c>
      <c r="G75" s="39"/>
      <c r="H75" s="38">
        <f>H73+H74</f>
        <v>104480.78623831608</v>
      </c>
      <c r="I75" s="38">
        <f>I73+I74</f>
        <v>54102.163561116082</v>
      </c>
      <c r="J75" s="41"/>
      <c r="K75" s="40">
        <f>K73+K74</f>
        <v>54102.163561116075</v>
      </c>
      <c r="L75" s="1"/>
      <c r="M75" s="1"/>
      <c r="N75" s="1"/>
    </row>
    <row r="76" spans="1:14" s="8" customFormat="1" ht="48" thickBot="1" x14ac:dyDescent="0.3">
      <c r="B76" s="36" t="s">
        <v>130</v>
      </c>
      <c r="C76" s="37"/>
      <c r="D76" s="37"/>
      <c r="E76" s="37"/>
      <c r="F76" s="38">
        <f>F24+F75</f>
        <v>156081.33072000463</v>
      </c>
      <c r="G76" s="41"/>
      <c r="H76" s="38">
        <f>H24+H75</f>
        <v>156081.3307200046</v>
      </c>
      <c r="I76" s="38">
        <f>I24+I75</f>
        <v>55187.102194604602</v>
      </c>
      <c r="J76" s="41"/>
      <c r="K76" s="40">
        <f>K24+K75</f>
        <v>55187.102194604595</v>
      </c>
      <c r="L76" s="1"/>
      <c r="M76" s="1"/>
      <c r="N76" s="1"/>
    </row>
    <row r="77" spans="1:14" s="8" customFormat="1" ht="15.75" x14ac:dyDescent="0.25">
      <c r="B77" s="68"/>
      <c r="C77" s="68"/>
      <c r="D77" s="68"/>
      <c r="E77" s="68"/>
      <c r="F77" s="69"/>
      <c r="G77" s="4"/>
      <c r="H77" s="69"/>
      <c r="I77" s="69"/>
      <c r="J77" s="4"/>
      <c r="K77" s="69"/>
      <c r="L77" s="1"/>
      <c r="M77" s="1"/>
      <c r="N77" s="1"/>
    </row>
    <row r="78" spans="1:14" s="8" customFormat="1" ht="15.75" x14ac:dyDescent="0.25">
      <c r="B78" s="68"/>
      <c r="C78" s="68"/>
      <c r="D78" s="68"/>
      <c r="E78" s="68"/>
      <c r="F78" s="69"/>
      <c r="G78" s="4"/>
      <c r="H78" s="69"/>
      <c r="I78" s="69"/>
      <c r="J78" s="4"/>
      <c r="K78" s="69"/>
      <c r="L78" s="1"/>
      <c r="M78" s="1"/>
      <c r="N78" s="1"/>
    </row>
    <row r="80" spans="1:14" ht="15.75" x14ac:dyDescent="0.25">
      <c r="B80" s="118" t="s">
        <v>131</v>
      </c>
      <c r="C80" s="118"/>
      <c r="D80" s="118"/>
      <c r="E80" s="119"/>
      <c r="F80" s="119"/>
    </row>
    <row r="81" spans="2:10" ht="15.75" x14ac:dyDescent="0.25">
      <c r="B81" s="120" t="s">
        <v>132</v>
      </c>
      <c r="C81" s="120"/>
      <c r="D81" s="120"/>
      <c r="E81" s="121"/>
      <c r="F81" s="121"/>
    </row>
    <row r="82" spans="2:10" ht="15.75" x14ac:dyDescent="0.25">
      <c r="B82" s="120" t="s">
        <v>133</v>
      </c>
      <c r="C82" s="120"/>
      <c r="D82" s="120"/>
      <c r="E82" s="120"/>
      <c r="F82" s="122"/>
      <c r="H82" s="70"/>
    </row>
    <row r="83" spans="2:10" ht="16.5" thickBot="1" x14ac:dyDescent="0.3">
      <c r="B83" s="123"/>
      <c r="C83" s="123"/>
      <c r="D83" s="124"/>
      <c r="E83" s="124"/>
      <c r="F83" s="122"/>
    </row>
    <row r="84" spans="2:10" ht="16.5" thickBot="1" x14ac:dyDescent="0.3">
      <c r="B84" s="125" t="s">
        <v>134</v>
      </c>
      <c r="C84" s="126" t="s">
        <v>135</v>
      </c>
      <c r="D84" s="127" t="s">
        <v>136</v>
      </c>
      <c r="E84" s="128"/>
      <c r="F84" s="122"/>
    </row>
    <row r="85" spans="2:10" ht="16.5" thickBot="1" x14ac:dyDescent="0.3">
      <c r="B85" s="129"/>
      <c r="C85" s="130"/>
      <c r="D85" s="127"/>
      <c r="E85" s="128"/>
      <c r="F85" s="122"/>
    </row>
    <row r="86" spans="2:10" ht="30.75" thickBot="1" x14ac:dyDescent="0.3">
      <c r="B86" s="131" t="s">
        <v>137</v>
      </c>
      <c r="C86" s="132">
        <v>55187.1</v>
      </c>
      <c r="D86" s="133">
        <v>156081.32999999999</v>
      </c>
      <c r="E86" s="134"/>
      <c r="F86" s="122"/>
    </row>
    <row r="87" spans="2:10" ht="20.25" customHeight="1" thickBot="1" x14ac:dyDescent="0.3">
      <c r="B87" s="131" t="s">
        <v>138</v>
      </c>
      <c r="C87" s="132">
        <v>114745.97</v>
      </c>
      <c r="D87" s="133">
        <v>114745.97</v>
      </c>
      <c r="E87" s="134"/>
      <c r="F87" s="122"/>
    </row>
    <row r="88" spans="2:10" ht="30.75" thickBot="1" x14ac:dyDescent="0.3">
      <c r="B88" s="131" t="s">
        <v>139</v>
      </c>
      <c r="C88" s="132">
        <v>28441.74</v>
      </c>
      <c r="D88" s="133">
        <v>28756.77</v>
      </c>
      <c r="E88" s="134"/>
      <c r="F88" s="122"/>
    </row>
    <row r="89" spans="2:10" ht="16.5" thickBot="1" x14ac:dyDescent="0.3">
      <c r="B89" s="135" t="s">
        <v>140</v>
      </c>
      <c r="C89" s="136">
        <v>382.99</v>
      </c>
      <c r="D89" s="137">
        <v>510.42</v>
      </c>
      <c r="E89" s="138"/>
      <c r="F89" s="122"/>
    </row>
    <row r="90" spans="2:10" ht="16.5" thickBot="1" x14ac:dyDescent="0.3">
      <c r="B90" s="135" t="s">
        <v>141</v>
      </c>
      <c r="C90" s="136" t="s">
        <v>142</v>
      </c>
      <c r="D90" s="139">
        <v>28246.35</v>
      </c>
      <c r="E90" s="140"/>
      <c r="F90" s="122"/>
    </row>
    <row r="91" spans="2:10" ht="91.5" customHeight="1" thickBot="1" x14ac:dyDescent="0.3">
      <c r="B91" s="131" t="s">
        <v>147</v>
      </c>
      <c r="C91" s="148">
        <v>117807.93</v>
      </c>
      <c r="D91" s="141">
        <v>114273.69</v>
      </c>
      <c r="E91" s="142"/>
      <c r="F91" s="144"/>
    </row>
    <row r="92" spans="2:10" ht="34.5" customHeight="1" thickBot="1" x14ac:dyDescent="0.3">
      <c r="B92" s="131" t="s">
        <v>143</v>
      </c>
      <c r="C92" s="132">
        <v>12472.72</v>
      </c>
      <c r="D92" s="133">
        <v>10408.469999999999</v>
      </c>
      <c r="E92" s="134"/>
      <c r="F92" s="122"/>
    </row>
    <row r="93" spans="2:10" ht="45.75" thickBot="1" x14ac:dyDescent="0.3">
      <c r="B93" s="131" t="s">
        <v>144</v>
      </c>
      <c r="C93" s="132">
        <v>10416.77</v>
      </c>
      <c r="D93" s="133">
        <v>-33598.080000000002</v>
      </c>
      <c r="E93" s="134"/>
      <c r="F93" s="122"/>
      <c r="G93" s="70"/>
      <c r="H93" s="70"/>
      <c r="I93" s="70"/>
      <c r="J93" s="70"/>
    </row>
    <row r="94" spans="2:10" ht="30.75" thickBot="1" x14ac:dyDescent="0.3">
      <c r="B94" s="135" t="s">
        <v>145</v>
      </c>
      <c r="C94" s="143">
        <v>7553.93</v>
      </c>
      <c r="D94" s="139">
        <v>47490.1</v>
      </c>
      <c r="E94" s="140"/>
      <c r="F94" s="122"/>
      <c r="G94" s="70"/>
      <c r="H94" s="70"/>
      <c r="I94" s="70"/>
      <c r="J94" s="70"/>
    </row>
    <row r="95" spans="2:10" ht="24" customHeight="1" thickBot="1" x14ac:dyDescent="0.3">
      <c r="B95" s="135" t="s">
        <v>146</v>
      </c>
      <c r="C95" s="143">
        <v>17970.7</v>
      </c>
      <c r="D95" s="139">
        <v>13892.02</v>
      </c>
      <c r="E95" s="140"/>
      <c r="F95" s="122"/>
      <c r="G95" s="70"/>
      <c r="H95" s="70"/>
      <c r="I95" s="70"/>
      <c r="J95" s="70"/>
    </row>
    <row r="96" spans="2:10" x14ac:dyDescent="0.25">
      <c r="F96" s="70"/>
      <c r="G96" s="70"/>
      <c r="H96" s="70"/>
      <c r="I96" s="70"/>
      <c r="J96" s="70"/>
    </row>
    <row r="97" spans="1:14" x14ac:dyDescent="0.25">
      <c r="F97" s="70"/>
      <c r="G97" s="70"/>
      <c r="H97" s="70"/>
      <c r="I97" s="70"/>
      <c r="J97" s="70"/>
    </row>
    <row r="98" spans="1:14" ht="48" customHeight="1" x14ac:dyDescent="0.25">
      <c r="A98" s="1"/>
      <c r="B98" s="145" t="s">
        <v>148</v>
      </c>
      <c r="C98" s="146"/>
      <c r="D98" s="147" t="s">
        <v>149</v>
      </c>
      <c r="E98" s="1"/>
      <c r="F98" s="1"/>
      <c r="G98" s="1"/>
      <c r="H98" s="1"/>
      <c r="I98" s="1"/>
      <c r="J98" s="1"/>
      <c r="K98" s="1"/>
      <c r="L98" s="7"/>
      <c r="M98" s="7"/>
      <c r="N98" s="7"/>
    </row>
    <row r="99" spans="1:14" ht="18" x14ac:dyDescent="0.25">
      <c r="A99" s="1"/>
      <c r="B99" s="147"/>
      <c r="C99" s="147"/>
      <c r="D99" s="147"/>
      <c r="E99" s="1"/>
      <c r="F99" s="1"/>
      <c r="G99" s="1"/>
      <c r="H99" s="1"/>
      <c r="I99" s="1"/>
      <c r="J99" s="1"/>
      <c r="K99" s="1"/>
      <c r="L99" s="7"/>
      <c r="M99" s="7"/>
      <c r="N99" s="7"/>
    </row>
    <row r="100" spans="1:14" ht="44.25" customHeight="1" x14ac:dyDescent="0.25">
      <c r="A100" s="1"/>
      <c r="B100" s="147" t="s">
        <v>150</v>
      </c>
      <c r="C100" s="147"/>
      <c r="D100" s="147" t="s">
        <v>151</v>
      </c>
      <c r="E100" s="1"/>
      <c r="F100" s="1"/>
      <c r="G100" s="1"/>
      <c r="H100" s="1"/>
      <c r="I100" s="1"/>
      <c r="J100" s="1"/>
      <c r="K100" s="1"/>
      <c r="L100" s="7"/>
      <c r="M100" s="7"/>
      <c r="N100" s="7"/>
    </row>
  </sheetData>
  <mergeCells count="94">
    <mergeCell ref="D92:E92"/>
    <mergeCell ref="D93:E93"/>
    <mergeCell ref="D94:E94"/>
    <mergeCell ref="D95:E95"/>
    <mergeCell ref="D88:E88"/>
    <mergeCell ref="D89:E89"/>
    <mergeCell ref="D90:E90"/>
    <mergeCell ref="D91:E91"/>
    <mergeCell ref="D83:E83"/>
    <mergeCell ref="D84:E84"/>
    <mergeCell ref="D85:E85"/>
    <mergeCell ref="D86:E86"/>
    <mergeCell ref="D87:E87"/>
    <mergeCell ref="B80:D80"/>
    <mergeCell ref="E80:F80"/>
    <mergeCell ref="B81:D81"/>
    <mergeCell ref="E81:F81"/>
    <mergeCell ref="B82:E82"/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B8:K8"/>
    <mergeCell ref="B10:B11"/>
    <mergeCell ref="B12:B13"/>
    <mergeCell ref="B14:B15"/>
    <mergeCell ref="B16:B21"/>
    <mergeCell ref="C17:C19"/>
    <mergeCell ref="D17:D19"/>
    <mergeCell ref="E17:E19"/>
    <mergeCell ref="F17:F19"/>
    <mergeCell ref="I17:I19"/>
    <mergeCell ref="C21:D21"/>
    <mergeCell ref="B26:B46"/>
    <mergeCell ref="C27:C31"/>
    <mergeCell ref="D27:D31"/>
    <mergeCell ref="E27:E31"/>
    <mergeCell ref="C38:C46"/>
    <mergeCell ref="D38:D46"/>
    <mergeCell ref="E38:E46"/>
    <mergeCell ref="I27:I31"/>
    <mergeCell ref="C32:C37"/>
    <mergeCell ref="D32:D37"/>
    <mergeCell ref="E32:E37"/>
    <mergeCell ref="F32:F37"/>
    <mergeCell ref="I32:I37"/>
    <mergeCell ref="F27:F31"/>
    <mergeCell ref="I38:I46"/>
    <mergeCell ref="B47:B50"/>
    <mergeCell ref="C48:C49"/>
    <mergeCell ref="D48:D49"/>
    <mergeCell ref="E48:E49"/>
    <mergeCell ref="F48:F49"/>
    <mergeCell ref="I48:I49"/>
    <mergeCell ref="C50:D50"/>
    <mergeCell ref="F38:F46"/>
    <mergeCell ref="G41:G42"/>
    <mergeCell ref="B51:B52"/>
    <mergeCell ref="B53:B54"/>
    <mergeCell ref="B55:B56"/>
    <mergeCell ref="B57:B59"/>
    <mergeCell ref="C57:C59"/>
    <mergeCell ref="E57:E59"/>
    <mergeCell ref="F57:F59"/>
    <mergeCell ref="I57:I59"/>
    <mergeCell ref="B60:B63"/>
    <mergeCell ref="C60:C63"/>
    <mergeCell ref="D60:D63"/>
    <mergeCell ref="E60:E63"/>
    <mergeCell ref="F60:F63"/>
    <mergeCell ref="I60:I63"/>
    <mergeCell ref="D57:D59"/>
    <mergeCell ref="J60:J61"/>
    <mergeCell ref="J62:J63"/>
    <mergeCell ref="B64:B66"/>
    <mergeCell ref="C64:C66"/>
    <mergeCell ref="D64:D66"/>
    <mergeCell ref="E64:E66"/>
    <mergeCell ref="F64:F66"/>
    <mergeCell ref="I64:I66"/>
    <mergeCell ref="J64:J65"/>
    <mergeCell ref="I70:I71"/>
    <mergeCell ref="B67:B68"/>
    <mergeCell ref="B69:B71"/>
    <mergeCell ref="C70:C71"/>
    <mergeCell ref="D70:D71"/>
    <mergeCell ref="E70:E71"/>
    <mergeCell ref="F70:F71"/>
  </mergeCells>
  <pageMargins left="0.51181102362204722" right="0.31496062992125984" top="0.46" bottom="0.42" header="0.31496062992125984" footer="0.31496062992125984"/>
  <pageSetup paperSize="9" scale="45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янв-март17 с РЗЗ для Админ</vt:lpstr>
      <vt:lpstr>Лист1</vt:lpstr>
      <vt:lpstr>Лист2</vt:lpstr>
      <vt:lpstr>Лист3</vt:lpstr>
      <vt:lpstr>'янв-март17 с РЗЗ для Админ'!Заголовки_для_печати</vt:lpstr>
      <vt:lpstr>'янв-март17 с РЗЗ для Админ'!Область_печати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2017-04-19T12:18:52Z</dcterms:modified>
</cp:coreProperties>
</file>