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785" windowWidth="19005" windowHeight="10020"/>
  </bookViews>
  <sheets>
    <sheet name="Итоговый файл" sheetId="7" r:id="rId1"/>
    <sheet name="12 месяцев 2017" sheetId="6" r:id="rId2"/>
  </sheets>
  <definedNames>
    <definedName name="_xlnm._FilterDatabase" localSheetId="1" hidden="1">'12 месяцев 2017'!$A$8:$J$8</definedName>
    <definedName name="_xlnm._FilterDatabase" localSheetId="0" hidden="1">'Итоговый файл'!$A$7:$K$7</definedName>
    <definedName name="_xlnm.Print_Titles" localSheetId="1">'12 месяцев 2017'!$A:$J,'12 месяцев 2017'!$6:$7</definedName>
    <definedName name="_xlnm.Print_Titles" localSheetId="0">'Итоговый файл'!$A:$J,'Итоговый файл'!$6:$7</definedName>
    <definedName name="_xlnm.Print_Area" localSheetId="1">'12 месяцев 2017'!$A$2:$J$334</definedName>
    <definedName name="_xlnm.Print_Area" localSheetId="0">'Итоговый файл'!$A$2:$J$326</definedName>
  </definedNames>
  <calcPr calcId="145621"/>
</workbook>
</file>

<file path=xl/calcChain.xml><?xml version="1.0" encoding="utf-8"?>
<calcChain xmlns="http://schemas.openxmlformats.org/spreadsheetml/2006/main">
  <c r="G284" i="7" l="1"/>
  <c r="J133" i="7" l="1"/>
  <c r="H133" i="7" s="1"/>
  <c r="K244" i="7" l="1"/>
  <c r="K50" i="7" l="1"/>
  <c r="J121" i="7" l="1"/>
  <c r="H121" i="7" s="1"/>
  <c r="D121" i="7" l="1"/>
  <c r="J231" i="7" l="1"/>
  <c r="H231" i="7" s="1"/>
  <c r="J230" i="7"/>
  <c r="H230" i="7"/>
  <c r="H229" i="7"/>
  <c r="D289" i="7" l="1"/>
  <c r="G289" i="7"/>
  <c r="E289" i="7" s="1"/>
  <c r="J289" i="7"/>
  <c r="H289" i="7" s="1"/>
  <c r="I55" i="7" l="1"/>
  <c r="H20" i="7"/>
  <c r="H29" i="7"/>
  <c r="H295" i="7" l="1"/>
  <c r="E295" i="7"/>
  <c r="H293" i="7"/>
  <c r="G293" i="7"/>
  <c r="E293" i="7" s="1"/>
  <c r="G292" i="7"/>
  <c r="J291" i="7"/>
  <c r="G291" i="7"/>
  <c r="J290" i="7"/>
  <c r="G290" i="7"/>
  <c r="J286" i="7"/>
  <c r="H284" i="7" s="1"/>
  <c r="G285" i="7"/>
  <c r="H283" i="7"/>
  <c r="E283" i="7"/>
  <c r="H282" i="7"/>
  <c r="G282" i="7"/>
  <c r="E282" i="7" s="1"/>
  <c r="D282" i="7"/>
  <c r="J277" i="7"/>
  <c r="G277" i="7"/>
  <c r="J276" i="7"/>
  <c r="G276" i="7"/>
  <c r="J266" i="7"/>
  <c r="G266" i="7"/>
  <c r="J265" i="7"/>
  <c r="G265" i="7"/>
  <c r="H261" i="7"/>
  <c r="G261" i="7"/>
  <c r="E261" i="7" s="1"/>
  <c r="D261" i="7"/>
  <c r="J260" i="7"/>
  <c r="H260" i="7" s="1"/>
  <c r="G260" i="7"/>
  <c r="E260" i="7" s="1"/>
  <c r="J259" i="7"/>
  <c r="H259" i="7" s="1"/>
  <c r="G259" i="7"/>
  <c r="E259" i="7" s="1"/>
  <c r="J258" i="7"/>
  <c r="H258" i="7" s="1"/>
  <c r="G258" i="7"/>
  <c r="E258" i="7" s="1"/>
  <c r="H257" i="7"/>
  <c r="E257" i="7"/>
  <c r="H256" i="7"/>
  <c r="E256" i="7"/>
  <c r="H255" i="7"/>
  <c r="E255" i="7"/>
  <c r="J254" i="7"/>
  <c r="H254" i="7" s="1"/>
  <c r="G254" i="7"/>
  <c r="E254" i="7" s="1"/>
  <c r="J253" i="7"/>
  <c r="J252" i="7"/>
  <c r="J251" i="7"/>
  <c r="G251" i="7"/>
  <c r="G250" i="7"/>
  <c r="G249" i="7"/>
  <c r="J245" i="7"/>
  <c r="G243" i="7"/>
  <c r="G242" i="7"/>
  <c r="J239" i="7"/>
  <c r="H239" i="7" s="1"/>
  <c r="J238" i="7"/>
  <c r="H238" i="7" s="1"/>
  <c r="G238" i="7"/>
  <c r="E238" i="7" s="1"/>
  <c r="J237" i="7"/>
  <c r="H237" i="7" s="1"/>
  <c r="D237" i="7"/>
  <c r="J236" i="7"/>
  <c r="J235" i="7"/>
  <c r="E235" i="7"/>
  <c r="D235" i="7"/>
  <c r="J234" i="7"/>
  <c r="H234" i="7"/>
  <c r="H233" i="7"/>
  <c r="G232" i="7"/>
  <c r="G231" i="7"/>
  <c r="G230" i="7"/>
  <c r="G229" i="7"/>
  <c r="E226" i="7"/>
  <c r="D226" i="7"/>
  <c r="J225" i="7"/>
  <c r="H225" i="7" s="1"/>
  <c r="J224" i="7"/>
  <c r="H224" i="7" s="1"/>
  <c r="G224" i="7"/>
  <c r="H223" i="7"/>
  <c r="G223" i="7"/>
  <c r="D223" i="7"/>
  <c r="H222" i="7"/>
  <c r="E222" i="7"/>
  <c r="H220" i="7"/>
  <c r="G220" i="7"/>
  <c r="H219" i="7"/>
  <c r="G219" i="7"/>
  <c r="H218" i="7"/>
  <c r="G218" i="7"/>
  <c r="D218" i="7"/>
  <c r="H217" i="7"/>
  <c r="G217" i="7"/>
  <c r="E217" i="7" s="1"/>
  <c r="D217" i="7"/>
  <c r="H216" i="7"/>
  <c r="E216" i="7"/>
  <c r="D216" i="7"/>
  <c r="J215" i="7"/>
  <c r="H215" i="7" s="1"/>
  <c r="J214" i="7"/>
  <c r="H214" i="7" s="1"/>
  <c r="E214" i="7"/>
  <c r="J213" i="7"/>
  <c r="J212" i="7"/>
  <c r="J211" i="7"/>
  <c r="G211" i="7"/>
  <c r="J210" i="7"/>
  <c r="H210" i="7" s="1"/>
  <c r="E210" i="7"/>
  <c r="D210" i="7"/>
  <c r="G209" i="7"/>
  <c r="E209" i="7" s="1"/>
  <c r="D209" i="7"/>
  <c r="J208" i="7"/>
  <c r="H208" i="7" s="1"/>
  <c r="J207" i="7"/>
  <c r="H207" i="7" s="1"/>
  <c r="D207" i="7"/>
  <c r="J206" i="7"/>
  <c r="J205" i="7"/>
  <c r="G205" i="7"/>
  <c r="J204" i="7"/>
  <c r="G204" i="7"/>
  <c r="D204" i="7"/>
  <c r="J203" i="7"/>
  <c r="H203" i="7" s="1"/>
  <c r="J202" i="7"/>
  <c r="H202" i="7" s="1"/>
  <c r="J201" i="7"/>
  <c r="J200" i="7"/>
  <c r="J199" i="7"/>
  <c r="G198" i="7"/>
  <c r="E197" i="7" s="1"/>
  <c r="J198" i="7"/>
  <c r="J197" i="7"/>
  <c r="J196" i="7"/>
  <c r="H196" i="7" s="1"/>
  <c r="J195" i="7"/>
  <c r="H195" i="7" s="1"/>
  <c r="D195" i="7"/>
  <c r="J194" i="7"/>
  <c r="H194" i="7" s="1"/>
  <c r="J193" i="7"/>
  <c r="H193" i="7" s="1"/>
  <c r="D193" i="7"/>
  <c r="J192" i="7"/>
  <c r="H192" i="7" s="1"/>
  <c r="J191" i="7"/>
  <c r="H191" i="7" s="1"/>
  <c r="D191" i="7"/>
  <c r="G190" i="7"/>
  <c r="E190" i="7" s="1"/>
  <c r="D190" i="7"/>
  <c r="G189" i="7"/>
  <c r="E189" i="7" s="1"/>
  <c r="D189" i="7"/>
  <c r="J188" i="7"/>
  <c r="H188" i="7" s="1"/>
  <c r="G188" i="7"/>
  <c r="E188" i="7" s="1"/>
  <c r="D188" i="7"/>
  <c r="J187" i="7"/>
  <c r="H187" i="7" s="1"/>
  <c r="J186" i="7"/>
  <c r="H186" i="7" s="1"/>
  <c r="G186" i="7"/>
  <c r="E186" i="7" s="1"/>
  <c r="D186" i="7"/>
  <c r="J185" i="7"/>
  <c r="H185" i="7" s="1"/>
  <c r="J184" i="7"/>
  <c r="H184" i="7" s="1"/>
  <c r="G184" i="7"/>
  <c r="E184" i="7" s="1"/>
  <c r="D184" i="7"/>
  <c r="J183" i="7"/>
  <c r="H183" i="7" s="1"/>
  <c r="J182" i="7"/>
  <c r="H182" i="7" s="1"/>
  <c r="E182" i="7"/>
  <c r="D182" i="7"/>
  <c r="J181" i="7"/>
  <c r="H181" i="7" s="1"/>
  <c r="J180" i="7"/>
  <c r="H180" i="7" s="1"/>
  <c r="J179" i="7"/>
  <c r="H179" i="7" s="1"/>
  <c r="G179" i="7"/>
  <c r="E179" i="7" s="1"/>
  <c r="D179" i="7"/>
  <c r="J178" i="7"/>
  <c r="H178" i="7" s="1"/>
  <c r="J177" i="7"/>
  <c r="H177" i="7" s="1"/>
  <c r="J176" i="7"/>
  <c r="H176" i="7" s="1"/>
  <c r="J175" i="7"/>
  <c r="H175" i="7" s="1"/>
  <c r="G175" i="7"/>
  <c r="E175" i="7" s="1"/>
  <c r="D175" i="7"/>
  <c r="J174" i="7"/>
  <c r="H174" i="7" s="1"/>
  <c r="J173" i="7"/>
  <c r="H173" i="7" s="1"/>
  <c r="J172" i="7"/>
  <c r="H172" i="7" s="1"/>
  <c r="J171" i="7"/>
  <c r="H171" i="7" s="1"/>
  <c r="G171" i="7"/>
  <c r="E171" i="7" s="1"/>
  <c r="D171" i="7"/>
  <c r="J170" i="7"/>
  <c r="H170" i="7" s="1"/>
  <c r="J169" i="7"/>
  <c r="H169" i="7" s="1"/>
  <c r="H168" i="7"/>
  <c r="G168" i="7"/>
  <c r="E168" i="7" s="1"/>
  <c r="D168" i="7"/>
  <c r="E167" i="7"/>
  <c r="D167" i="7"/>
  <c r="E166" i="7"/>
  <c r="D166" i="7"/>
  <c r="G165" i="7"/>
  <c r="E165" i="7" s="1"/>
  <c r="D165" i="7"/>
  <c r="H164" i="7"/>
  <c r="G164" i="7"/>
  <c r="E164" i="7" s="1"/>
  <c r="D164" i="7"/>
  <c r="H163" i="7"/>
  <c r="E163" i="7"/>
  <c r="D163" i="7"/>
  <c r="J162" i="7"/>
  <c r="H162" i="7" s="1"/>
  <c r="D162" i="7"/>
  <c r="H161" i="7"/>
  <c r="G161" i="7"/>
  <c r="E161" i="7" s="1"/>
  <c r="D161" i="7"/>
  <c r="G160" i="7"/>
  <c r="H159" i="7"/>
  <c r="G159" i="7"/>
  <c r="D159" i="7"/>
  <c r="J158" i="7"/>
  <c r="H158" i="7" s="1"/>
  <c r="G158" i="7"/>
  <c r="E158" i="7" s="1"/>
  <c r="J157" i="7"/>
  <c r="H157" i="7" s="1"/>
  <c r="E157" i="7"/>
  <c r="J156" i="7"/>
  <c r="G156" i="7"/>
  <c r="E154" i="7" s="1"/>
  <c r="J154" i="7"/>
  <c r="J153" i="7"/>
  <c r="H153" i="7" s="1"/>
  <c r="E153" i="7"/>
  <c r="J152" i="7"/>
  <c r="H152" i="7" s="1"/>
  <c r="E152" i="7"/>
  <c r="J151" i="7"/>
  <c r="H151" i="7" s="1"/>
  <c r="G151" i="7"/>
  <c r="E151" i="7" s="1"/>
  <c r="J150" i="7"/>
  <c r="H150" i="7" s="1"/>
  <c r="G150" i="7"/>
  <c r="E150" i="7" s="1"/>
  <c r="G149" i="7"/>
  <c r="G148" i="7"/>
  <c r="G147" i="7"/>
  <c r="J146" i="7"/>
  <c r="H146" i="7" s="1"/>
  <c r="G146" i="7"/>
  <c r="J145" i="7"/>
  <c r="H145" i="7" s="1"/>
  <c r="J144" i="7"/>
  <c r="H144" i="7" s="1"/>
  <c r="J143" i="7"/>
  <c r="H143" i="7" s="1"/>
  <c r="J142" i="7"/>
  <c r="H142" i="7" s="1"/>
  <c r="H141" i="7"/>
  <c r="D141" i="7"/>
  <c r="J140" i="7"/>
  <c r="H140" i="7" s="1"/>
  <c r="D140" i="7"/>
  <c r="J139" i="7"/>
  <c r="H139" i="7" s="1"/>
  <c r="J138" i="7"/>
  <c r="H138" i="7" s="1"/>
  <c r="J137" i="7"/>
  <c r="H137" i="7" s="1"/>
  <c r="D137" i="7"/>
  <c r="J136" i="7"/>
  <c r="H136" i="7" s="1"/>
  <c r="D136" i="7"/>
  <c r="J135" i="7"/>
  <c r="H135" i="7" s="1"/>
  <c r="D135" i="7"/>
  <c r="J134" i="7"/>
  <c r="H134" i="7" s="1"/>
  <c r="E134" i="7"/>
  <c r="D134" i="7"/>
  <c r="E133" i="7"/>
  <c r="D133" i="7"/>
  <c r="G132" i="7"/>
  <c r="H131" i="7"/>
  <c r="G131" i="7"/>
  <c r="D131" i="7"/>
  <c r="H130" i="7"/>
  <c r="E130" i="7"/>
  <c r="J128" i="7"/>
  <c r="H128" i="7" s="1"/>
  <c r="G128" i="7"/>
  <c r="E128" i="7" s="1"/>
  <c r="J127" i="7"/>
  <c r="H127" i="7" s="1"/>
  <c r="G127" i="7"/>
  <c r="E127" i="7" s="1"/>
  <c r="J126" i="7"/>
  <c r="H126" i="7" s="1"/>
  <c r="G126" i="7"/>
  <c r="E126" i="7" s="1"/>
  <c r="H125" i="7"/>
  <c r="E125" i="7"/>
  <c r="H124" i="7"/>
  <c r="E124" i="7"/>
  <c r="H123" i="7"/>
  <c r="E123" i="7"/>
  <c r="J122" i="7"/>
  <c r="H122" i="7" s="1"/>
  <c r="G122" i="7"/>
  <c r="E122" i="7" s="1"/>
  <c r="J120" i="7"/>
  <c r="H120" i="7" s="1"/>
  <c r="J119" i="7"/>
  <c r="H119" i="7" s="1"/>
  <c r="G119" i="7"/>
  <c r="E119" i="7" s="1"/>
  <c r="J118" i="7"/>
  <c r="H118" i="7" s="1"/>
  <c r="G118" i="7"/>
  <c r="E118" i="7" s="1"/>
  <c r="D118" i="7"/>
  <c r="J117" i="7"/>
  <c r="H117" i="7"/>
  <c r="J116" i="7"/>
  <c r="H116" i="7"/>
  <c r="H115" i="7"/>
  <c r="G114" i="7"/>
  <c r="G113" i="7"/>
  <c r="G112" i="7"/>
  <c r="G111" i="7"/>
  <c r="D101" i="7"/>
  <c r="J99" i="7"/>
  <c r="J98" i="7"/>
  <c r="J97" i="7"/>
  <c r="G97" i="7"/>
  <c r="G96" i="7"/>
  <c r="D96" i="7"/>
  <c r="J95" i="7"/>
  <c r="H95" i="7" s="1"/>
  <c r="H94" i="7"/>
  <c r="H93" i="7"/>
  <c r="J92" i="7"/>
  <c r="G92" i="7"/>
  <c r="G90" i="7"/>
  <c r="G88" i="7"/>
  <c r="G87" i="7"/>
  <c r="J86" i="7"/>
  <c r="G86" i="7"/>
  <c r="G85" i="7"/>
  <c r="J84" i="7"/>
  <c r="G84" i="7"/>
  <c r="D84" i="7"/>
  <c r="H83" i="7"/>
  <c r="G82" i="7"/>
  <c r="G81" i="7"/>
  <c r="G80" i="7"/>
  <c r="G79" i="7"/>
  <c r="G78" i="7"/>
  <c r="G77" i="7"/>
  <c r="G76" i="7"/>
  <c r="G69" i="7"/>
  <c r="G68" i="7"/>
  <c r="G67" i="7"/>
  <c r="G66" i="7"/>
  <c r="J63" i="7"/>
  <c r="J62" i="7"/>
  <c r="J61" i="7"/>
  <c r="H56" i="7"/>
  <c r="E56" i="7"/>
  <c r="H54" i="7"/>
  <c r="E54" i="7"/>
  <c r="D54" i="7"/>
  <c r="J53" i="7"/>
  <c r="H53" i="7" s="1"/>
  <c r="G53" i="7"/>
  <c r="E53" i="7" s="1"/>
  <c r="D53" i="7"/>
  <c r="J52" i="7"/>
  <c r="H52" i="7" s="1"/>
  <c r="G52" i="7"/>
  <c r="E52" i="7" s="1"/>
  <c r="D52" i="7"/>
  <c r="J51" i="7"/>
  <c r="H51" i="7" s="1"/>
  <c r="G51" i="7"/>
  <c r="E51" i="7" s="1"/>
  <c r="D51" i="7"/>
  <c r="J50" i="7"/>
  <c r="H50" i="7" s="1"/>
  <c r="E50" i="7"/>
  <c r="D50" i="7"/>
  <c r="J49" i="7"/>
  <c r="H49" i="7" s="1"/>
  <c r="G49" i="7"/>
  <c r="D49" i="7"/>
  <c r="J48" i="7"/>
  <c r="H48" i="7" s="1"/>
  <c r="E48" i="7"/>
  <c r="J47" i="7"/>
  <c r="H47" i="7" s="1"/>
  <c r="E47" i="7"/>
  <c r="J46" i="7"/>
  <c r="H46" i="7" s="1"/>
  <c r="E46" i="7"/>
  <c r="J45" i="7"/>
  <c r="H45" i="7" s="1"/>
  <c r="E45" i="7"/>
  <c r="H44" i="7"/>
  <c r="E44" i="7"/>
  <c r="J43" i="7"/>
  <c r="H43" i="7" s="1"/>
  <c r="J42" i="7"/>
  <c r="H42" i="7" s="1"/>
  <c r="G42" i="7"/>
  <c r="J41" i="7"/>
  <c r="H41" i="7" s="1"/>
  <c r="G41" i="7"/>
  <c r="J40" i="7"/>
  <c r="H40" i="7" s="1"/>
  <c r="G40" i="7"/>
  <c r="D40" i="7"/>
  <c r="G39" i="7"/>
  <c r="E39" i="7" s="1"/>
  <c r="G38" i="7"/>
  <c r="G37" i="7"/>
  <c r="G36" i="7"/>
  <c r="D36" i="7"/>
  <c r="G35" i="7"/>
  <c r="E35" i="7" s="1"/>
  <c r="D35" i="7"/>
  <c r="H34" i="7"/>
  <c r="E34" i="7"/>
  <c r="H33" i="7"/>
  <c r="G33" i="7"/>
  <c r="E33" i="7" s="1"/>
  <c r="D33" i="7"/>
  <c r="G32" i="7"/>
  <c r="G30" i="7"/>
  <c r="G29" i="7"/>
  <c r="J28" i="7"/>
  <c r="J26" i="7"/>
  <c r="E26" i="7"/>
  <c r="D26" i="7"/>
  <c r="H25" i="7"/>
  <c r="G25" i="7"/>
  <c r="E25" i="7" s="1"/>
  <c r="D25" i="7"/>
  <c r="H24" i="7"/>
  <c r="G24" i="7"/>
  <c r="E24" i="7" s="1"/>
  <c r="D24" i="7"/>
  <c r="H23" i="7"/>
  <c r="H22" i="7"/>
  <c r="G22" i="7"/>
  <c r="E22" i="7" s="1"/>
  <c r="D22" i="7"/>
  <c r="E20" i="7"/>
  <c r="D20" i="7"/>
  <c r="H19" i="7"/>
  <c r="E19" i="7"/>
  <c r="G18" i="7"/>
  <c r="E18" i="7" s="1"/>
  <c r="D18" i="7"/>
  <c r="G17" i="7"/>
  <c r="E17" i="7" s="1"/>
  <c r="D17" i="7"/>
  <c r="G15" i="7"/>
  <c r="E15" i="7" s="1"/>
  <c r="D15" i="7"/>
  <c r="J14" i="7"/>
  <c r="H14" i="7" s="1"/>
  <c r="J13" i="7"/>
  <c r="D13" i="7"/>
  <c r="G12" i="7"/>
  <c r="E12" i="7" s="1"/>
  <c r="D12" i="7"/>
  <c r="G11" i="7"/>
  <c r="E11" i="7" s="1"/>
  <c r="D11" i="7"/>
  <c r="G9" i="7"/>
  <c r="D9" i="7"/>
  <c r="K138" i="6"/>
  <c r="J223" i="6"/>
  <c r="H223" i="6" s="1"/>
  <c r="J206" i="6"/>
  <c r="H206" i="6" s="1"/>
  <c r="J205" i="6"/>
  <c r="H205" i="6" s="1"/>
  <c r="J204" i="6"/>
  <c r="H204" i="6" s="1"/>
  <c r="J203" i="6"/>
  <c r="H203" i="6" s="1"/>
  <c r="D203" i="6"/>
  <c r="J209" i="6"/>
  <c r="H209" i="6" s="1"/>
  <c r="H202" i="6"/>
  <c r="J202" i="6"/>
  <c r="J216" i="6"/>
  <c r="H216" i="6" s="1"/>
  <c r="H222" i="6"/>
  <c r="J222" i="6"/>
  <c r="J215" i="6"/>
  <c r="H215" i="6" s="1"/>
  <c r="J214" i="6"/>
  <c r="D215" i="6"/>
  <c r="J188" i="6"/>
  <c r="J208" i="6"/>
  <c r="H208" i="6" s="1"/>
  <c r="J201" i="6"/>
  <c r="H201" i="6" s="1"/>
  <c r="D201" i="6"/>
  <c r="H272" i="6"/>
  <c r="J263" i="6"/>
  <c r="H146" i="6"/>
  <c r="D146" i="6"/>
  <c r="J150" i="6"/>
  <c r="H150" i="6" s="1"/>
  <c r="H145" i="6"/>
  <c r="J145" i="6"/>
  <c r="D145" i="6"/>
  <c r="J149" i="6"/>
  <c r="H149" i="6" s="1"/>
  <c r="J148" i="6"/>
  <c r="H148" i="6" s="1"/>
  <c r="D140" i="6"/>
  <c r="H140" i="6"/>
  <c r="J140" i="6"/>
  <c r="E239" i="7" l="1"/>
  <c r="E223" i="7"/>
  <c r="E229" i="7"/>
  <c r="K230" i="7"/>
  <c r="E49" i="7"/>
  <c r="K49" i="7"/>
  <c r="E211" i="7"/>
  <c r="K211" i="7"/>
  <c r="H211" i="7"/>
  <c r="H197" i="7"/>
  <c r="E204" i="7"/>
  <c r="H204" i="7"/>
  <c r="E84" i="7"/>
  <c r="E159" i="7"/>
  <c r="G55" i="7"/>
  <c r="G57" i="7" s="1"/>
  <c r="H84" i="7"/>
  <c r="E96" i="7"/>
  <c r="H13" i="7"/>
  <c r="J55" i="7"/>
  <c r="J57" i="7" s="1"/>
  <c r="E36" i="7"/>
  <c r="E61" i="7"/>
  <c r="H61" i="7"/>
  <c r="H26" i="7"/>
  <c r="H55" i="7" s="1"/>
  <c r="H57" i="7" s="1"/>
  <c r="H154" i="7"/>
  <c r="E218" i="7"/>
  <c r="H235" i="7"/>
  <c r="H276" i="7"/>
  <c r="H290" i="7"/>
  <c r="E276" i="7"/>
  <c r="E40" i="7"/>
  <c r="H96" i="7"/>
  <c r="E131" i="7"/>
  <c r="E146" i="7"/>
  <c r="H265" i="7"/>
  <c r="E290" i="7"/>
  <c r="E9" i="7"/>
  <c r="J294" i="7"/>
  <c r="J296" i="7" s="1"/>
  <c r="G294" i="7"/>
  <c r="G296" i="7" s="1"/>
  <c r="E265" i="7"/>
  <c r="E284" i="7"/>
  <c r="E29" i="7"/>
  <c r="J139" i="6"/>
  <c r="H139" i="6" s="1"/>
  <c r="D139" i="6"/>
  <c r="H294" i="7" l="1"/>
  <c r="J297" i="7"/>
  <c r="G297" i="7"/>
  <c r="E294" i="7"/>
  <c r="E296" i="7" s="1"/>
  <c r="E55" i="7"/>
  <c r="E57" i="7" s="1"/>
  <c r="H296" i="7"/>
  <c r="H297" i="7" s="1"/>
  <c r="H299" i="7" s="1"/>
  <c r="H142" i="6"/>
  <c r="H143" i="6"/>
  <c r="J143" i="6"/>
  <c r="J142" i="6"/>
  <c r="J141" i="6"/>
  <c r="H134" i="6"/>
  <c r="J301" i="6"/>
  <c r="J300" i="6"/>
  <c r="E297" i="7" l="1"/>
  <c r="E299" i="7" s="1"/>
  <c r="H300" i="6"/>
  <c r="H122" i="6" l="1"/>
  <c r="H121" i="6"/>
  <c r="H120" i="6"/>
  <c r="H99" i="6"/>
  <c r="H98" i="6"/>
  <c r="H47" i="6"/>
  <c r="H34" i="6"/>
  <c r="H29" i="6"/>
  <c r="H19" i="6"/>
  <c r="J225" i="6" l="1"/>
  <c r="H225" i="6" s="1"/>
  <c r="J100" i="6"/>
  <c r="H100" i="6" s="1"/>
  <c r="J211" i="6"/>
  <c r="H211" i="6" s="1"/>
  <c r="J181" i="6"/>
  <c r="J180" i="6"/>
  <c r="H181" i="6" l="1"/>
  <c r="H180" i="6"/>
  <c r="J221" i="6"/>
  <c r="H221" i="6" s="1"/>
  <c r="J207" i="6"/>
  <c r="H207" i="6" s="1"/>
  <c r="J243" i="6"/>
  <c r="H243" i="6" s="1"/>
  <c r="J264" i="6"/>
  <c r="J200" i="6"/>
  <c r="H200" i="6"/>
  <c r="J199" i="6"/>
  <c r="H199" i="6" s="1"/>
  <c r="D199" i="6"/>
  <c r="J177" i="6"/>
  <c r="H177" i="6" s="1"/>
  <c r="J43" i="6"/>
  <c r="H43" i="6" s="1"/>
  <c r="H141" i="6"/>
  <c r="D141" i="6"/>
  <c r="J176" i="6"/>
  <c r="H176" i="6" s="1"/>
  <c r="J97" i="6"/>
  <c r="J235" i="6"/>
  <c r="H235" i="6" s="1"/>
  <c r="J169" i="6"/>
  <c r="H169" i="6" s="1"/>
  <c r="D169" i="6"/>
  <c r="D172" i="6"/>
  <c r="J193" i="6"/>
  <c r="H193" i="6" s="1"/>
  <c r="J190" i="6"/>
  <c r="H190" i="6" s="1"/>
  <c r="J189" i="6"/>
  <c r="H189" i="6" s="1"/>
  <c r="E189" i="6"/>
  <c r="D189" i="6"/>
  <c r="J185" i="6"/>
  <c r="H185" i="6" s="1"/>
  <c r="J184" i="6"/>
  <c r="H184" i="6" s="1"/>
  <c r="H188" i="6"/>
  <c r="J179" i="6"/>
  <c r="H179" i="6" s="1"/>
  <c r="J195" i="6"/>
  <c r="H195" i="6" s="1"/>
  <c r="J187" i="6"/>
  <c r="H187" i="6" s="1"/>
  <c r="J183" i="6"/>
  <c r="H183" i="6" s="1"/>
  <c r="J147" i="6"/>
  <c r="H147" i="6" s="1"/>
  <c r="J144" i="6"/>
  <c r="H144" i="6" s="1"/>
  <c r="D144" i="6"/>
  <c r="J125" i="6"/>
  <c r="J196" i="6"/>
  <c r="H196" i="6" s="1"/>
  <c r="J138" i="6"/>
  <c r="H138" i="6" s="1"/>
  <c r="E138" i="6"/>
  <c r="D138" i="6"/>
  <c r="J224" i="6"/>
  <c r="H224" i="6" s="1"/>
  <c r="E224" i="6"/>
  <c r="G221" i="6"/>
  <c r="E221" i="6" s="1"/>
  <c r="J220" i="6"/>
  <c r="H220" i="6" s="1"/>
  <c r="E220" i="6"/>
  <c r="D220" i="6"/>
  <c r="J51" i="6"/>
  <c r="H51" i="6" s="1"/>
  <c r="J50" i="6"/>
  <c r="H50" i="6" s="1"/>
  <c r="E50" i="6"/>
  <c r="J192" i="6"/>
  <c r="H192" i="6" s="1"/>
  <c r="J194" i="6"/>
  <c r="H194" i="6" s="1"/>
  <c r="H175" i="6"/>
  <c r="J178" i="6"/>
  <c r="H178" i="6" s="1"/>
  <c r="J182" i="6"/>
  <c r="H182" i="6" s="1"/>
  <c r="J186" i="6"/>
  <c r="H186" i="6" s="1"/>
  <c r="H125" i="6" l="1"/>
  <c r="J104" i="6"/>
  <c r="J103" i="6"/>
  <c r="J41" i="6"/>
  <c r="H41" i="6" s="1"/>
  <c r="J42" i="6"/>
  <c r="H42" i="6" s="1"/>
  <c r="G158" i="6" l="1"/>
  <c r="G157" i="6"/>
  <c r="G154" i="6" l="1"/>
  <c r="G155" i="6"/>
  <c r="G156" i="6"/>
  <c r="G153" i="6"/>
  <c r="E153" i="6" l="1"/>
  <c r="J213" i="6"/>
  <c r="J212" i="6"/>
  <c r="J248" i="6"/>
  <c r="H248" i="6" s="1"/>
  <c r="D248" i="6"/>
  <c r="J249" i="6"/>
  <c r="H249" i="6" s="1"/>
  <c r="G249" i="6"/>
  <c r="E249" i="6" s="1"/>
  <c r="H212" i="6" l="1"/>
  <c r="J124" i="6"/>
  <c r="H124" i="6" s="1"/>
  <c r="J262" i="6"/>
  <c r="J242" i="6" l="1"/>
  <c r="H242" i="6" s="1"/>
  <c r="H241" i="6"/>
  <c r="J234" i="6"/>
  <c r="H234" i="6" s="1"/>
  <c r="J102" i="6"/>
  <c r="J123" i="6"/>
  <c r="H123" i="6" s="1"/>
  <c r="D123" i="6"/>
  <c r="J40" i="6"/>
  <c r="H40" i="6" s="1"/>
  <c r="J52" i="6"/>
  <c r="H52" i="6" s="1"/>
  <c r="J56" i="6"/>
  <c r="H56" i="6" s="1"/>
  <c r="H101" i="6" l="1"/>
  <c r="J55" i="6"/>
  <c r="H55" i="6" s="1"/>
  <c r="J57" i="6"/>
  <c r="H57" i="6" s="1"/>
  <c r="J14" i="6" l="1"/>
  <c r="H14" i="6" s="1"/>
  <c r="D13" i="6"/>
  <c r="J13" i="6"/>
  <c r="H13" i="6" s="1"/>
  <c r="D36" i="6" l="1"/>
  <c r="D35" i="6"/>
  <c r="E48" i="6" l="1"/>
  <c r="E49" i="6"/>
  <c r="E205" i="6" l="1"/>
  <c r="E174" i="6"/>
  <c r="E173" i="6"/>
  <c r="G270" i="6"/>
  <c r="J270" i="6"/>
  <c r="G242" i="6" l="1"/>
  <c r="E232" i="6"/>
  <c r="E236" i="6"/>
  <c r="G135" i="6" l="1"/>
  <c r="E160" i="6"/>
  <c r="E159" i="6"/>
  <c r="E158" i="6"/>
  <c r="E157" i="6"/>
  <c r="E137" i="6"/>
  <c r="E127" i="6" l="1"/>
  <c r="E128" i="6"/>
  <c r="E129" i="6"/>
  <c r="J131" i="6"/>
  <c r="G131" i="6"/>
  <c r="E131" i="6" s="1"/>
  <c r="J271" i="6" l="1"/>
  <c r="G271" i="6"/>
  <c r="G132" i="6"/>
  <c r="E132" i="6" s="1"/>
  <c r="J132" i="6"/>
  <c r="E34" i="6"/>
  <c r="E26" i="6"/>
  <c r="E20" i="6"/>
  <c r="D20" i="6"/>
  <c r="E62" i="6"/>
  <c r="G207" i="6"/>
  <c r="E207" i="6" s="1"/>
  <c r="E19" i="6"/>
  <c r="J160" i="6" l="1"/>
  <c r="H160" i="6" s="1"/>
  <c r="J159" i="6"/>
  <c r="H159" i="6" s="1"/>
  <c r="J158" i="6"/>
  <c r="H158" i="6" s="1"/>
  <c r="J157" i="6"/>
  <c r="H157" i="6" s="1"/>
  <c r="J153" i="6"/>
  <c r="H153" i="6" s="1"/>
  <c r="J49" i="6" l="1"/>
  <c r="H49" i="6" s="1"/>
  <c r="J210" i="6"/>
  <c r="H210" i="6" s="1"/>
  <c r="J122" i="6"/>
  <c r="G40" i="6"/>
  <c r="G172" i="6"/>
  <c r="E172" i="6" s="1"/>
  <c r="G234" i="6"/>
  <c r="G272" i="6"/>
  <c r="E272" i="6" s="1"/>
  <c r="G261" i="6"/>
  <c r="G124" i="6"/>
  <c r="E124" i="6" s="1"/>
  <c r="G116" i="6"/>
  <c r="G97" i="6"/>
  <c r="G123" i="6"/>
  <c r="E123" i="6" s="1"/>
  <c r="J48" i="6" l="1"/>
  <c r="H48" i="6" s="1"/>
  <c r="J121" i="6"/>
  <c r="H245" i="6"/>
  <c r="J245" i="6"/>
  <c r="G269" i="6"/>
  <c r="E269" i="6" s="1"/>
  <c r="J269" i="6"/>
  <c r="H269" i="6" s="1"/>
  <c r="E270" i="6"/>
  <c r="H270" i="6"/>
  <c r="E271" i="6"/>
  <c r="H271" i="6"/>
  <c r="G130" i="6"/>
  <c r="E130" i="6" s="1"/>
  <c r="H131" i="6"/>
  <c r="H132" i="6"/>
  <c r="J130" i="6"/>
  <c r="H130" i="6" s="1"/>
  <c r="G241" i="6"/>
  <c r="G260" i="6"/>
  <c r="G233" i="6"/>
  <c r="E233" i="6" s="1"/>
  <c r="G167" i="6"/>
  <c r="G168" i="6"/>
  <c r="E168" i="6" s="1"/>
  <c r="G171" i="6"/>
  <c r="E171" i="6" s="1"/>
  <c r="G136" i="6"/>
  <c r="E135" i="6" s="1"/>
  <c r="G86" i="6"/>
  <c r="G85" i="6"/>
  <c r="G84" i="6"/>
  <c r="G83" i="6"/>
  <c r="G82" i="6"/>
  <c r="G81" i="6"/>
  <c r="G80" i="6"/>
  <c r="G38" i="6"/>
  <c r="G37" i="6"/>
  <c r="G36" i="6"/>
  <c r="G35" i="6"/>
  <c r="E36" i="6" l="1"/>
  <c r="E35" i="6"/>
  <c r="G219" i="6"/>
  <c r="E219" i="6" s="1"/>
  <c r="D219" i="6"/>
  <c r="G57" i="6"/>
  <c r="E57" i="6" s="1"/>
  <c r="D57" i="6"/>
  <c r="G56" i="6"/>
  <c r="E56" i="6" s="1"/>
  <c r="D56" i="6"/>
  <c r="G52" i="6"/>
  <c r="D52" i="6"/>
  <c r="G55" i="6"/>
  <c r="E55" i="6" s="1"/>
  <c r="D55" i="6"/>
  <c r="E52" i="6" l="1"/>
  <c r="G302" i="6" l="1"/>
  <c r="G42" i="6"/>
  <c r="G41" i="6"/>
  <c r="D40" i="6"/>
  <c r="G39" i="6"/>
  <c r="D198" i="6"/>
  <c r="G198" i="6"/>
  <c r="E198" i="6" s="1"/>
  <c r="G197" i="6"/>
  <c r="E197" i="6" s="1"/>
  <c r="D197" i="6"/>
  <c r="G196" i="6"/>
  <c r="E196" i="6" s="1"/>
  <c r="D196" i="6"/>
  <c r="G194" i="6"/>
  <c r="E194" i="6" s="1"/>
  <c r="D194" i="6"/>
  <c r="G192" i="6"/>
  <c r="E192" i="6" s="1"/>
  <c r="D192" i="6"/>
  <c r="G186" i="6"/>
  <c r="E186" i="6" s="1"/>
  <c r="D186" i="6"/>
  <c r="G182" i="6"/>
  <c r="E182" i="6" s="1"/>
  <c r="D182" i="6"/>
  <c r="G178" i="6"/>
  <c r="E178" i="6" s="1"/>
  <c r="D178" i="6"/>
  <c r="G175" i="6"/>
  <c r="E175" i="6" s="1"/>
  <c r="D175" i="6"/>
  <c r="G119" i="6"/>
  <c r="G118" i="6"/>
  <c r="G117" i="6"/>
  <c r="G212" i="6"/>
  <c r="G213" i="6"/>
  <c r="D212" i="6"/>
  <c r="G262" i="6"/>
  <c r="G18" i="6"/>
  <c r="E18" i="6" s="1"/>
  <c r="D18" i="6"/>
  <c r="D17" i="6"/>
  <c r="G17" i="6"/>
  <c r="E17" i="6" s="1"/>
  <c r="G11" i="6"/>
  <c r="E11" i="6" s="1"/>
  <c r="G15" i="6"/>
  <c r="E15" i="6" s="1"/>
  <c r="D15" i="6"/>
  <c r="G12" i="6"/>
  <c r="E12" i="6" s="1"/>
  <c r="D12" i="6"/>
  <c r="G9" i="6"/>
  <c r="D11" i="6"/>
  <c r="D9" i="6"/>
  <c r="H20" i="6"/>
  <c r="D22" i="6"/>
  <c r="G22" i="6"/>
  <c r="E22" i="6" s="1"/>
  <c r="H22" i="6"/>
  <c r="H23" i="6"/>
  <c r="E212" i="6" l="1"/>
  <c r="E40" i="6"/>
  <c r="E39" i="6"/>
  <c r="E9" i="6"/>
  <c r="E246" i="6" l="1"/>
  <c r="E294" i="6"/>
  <c r="D174" i="6"/>
  <c r="E170" i="6"/>
  <c r="D173" i="6"/>
  <c r="G240" i="6" l="1"/>
  <c r="G239" i="6" l="1"/>
  <c r="E239" i="6" l="1"/>
  <c r="D236" i="6" l="1"/>
  <c r="E134" i="6"/>
  <c r="D137" i="6"/>
  <c r="E47" i="6" l="1"/>
  <c r="E51" i="6"/>
  <c r="E60" i="6"/>
  <c r="H303" i="6" l="1"/>
  <c r="H294" i="6"/>
  <c r="H293" i="6"/>
  <c r="H244" i="6"/>
  <c r="H233" i="6"/>
  <c r="H232" i="6"/>
  <c r="H228" i="6"/>
  <c r="H229" i="6"/>
  <c r="H230" i="6"/>
  <c r="H227" i="6"/>
  <c r="H226" i="6"/>
  <c r="H171" i="6"/>
  <c r="H170" i="6" l="1"/>
  <c r="H168" i="6"/>
  <c r="H135" i="6"/>
  <c r="H129" i="6"/>
  <c r="H128" i="6"/>
  <c r="H127" i="6"/>
  <c r="H87" i="6"/>
  <c r="H62" i="6"/>
  <c r="H60" i="6"/>
  <c r="D233" i="6"/>
  <c r="H33" i="6" l="1"/>
  <c r="H268" i="6" l="1"/>
  <c r="E268" i="6"/>
  <c r="E266" i="6"/>
  <c r="H266" i="6"/>
  <c r="E267" i="6"/>
  <c r="H267" i="6"/>
  <c r="J247" i="6" l="1"/>
  <c r="D171" i="6" l="1"/>
  <c r="D272" i="6"/>
  <c r="D106" i="6" l="1"/>
  <c r="D101" i="6"/>
  <c r="H166" i="6" l="1"/>
  <c r="D170" i="6"/>
  <c r="D168" i="6" l="1"/>
  <c r="G265" i="6"/>
  <c r="E265" i="6" s="1"/>
  <c r="J265" i="6"/>
  <c r="H265" i="6" s="1"/>
  <c r="D135" i="6"/>
  <c r="J246" i="6" l="1"/>
  <c r="H246" i="6" s="1"/>
  <c r="D246" i="6"/>
  <c r="D60" i="6" l="1"/>
  <c r="H305" i="6" l="1"/>
  <c r="E305" i="6"/>
  <c r="G303" i="6"/>
  <c r="E303" i="6" s="1"/>
  <c r="G301" i="6"/>
  <c r="G300" i="6"/>
  <c r="J297" i="6"/>
  <c r="H295" i="6" s="1"/>
  <c r="G296" i="6"/>
  <c r="G295" i="6"/>
  <c r="G293" i="6"/>
  <c r="E293" i="6" s="1"/>
  <c r="D293" i="6"/>
  <c r="J288" i="6"/>
  <c r="G288" i="6"/>
  <c r="J287" i="6"/>
  <c r="G287" i="6"/>
  <c r="J277" i="6"/>
  <c r="G277" i="6"/>
  <c r="J276" i="6"/>
  <c r="G276" i="6"/>
  <c r="J256" i="6"/>
  <c r="G254" i="6"/>
  <c r="G253" i="6"/>
  <c r="J250" i="6"/>
  <c r="G230" i="6"/>
  <c r="G229" i="6"/>
  <c r="G228" i="6"/>
  <c r="D228" i="6"/>
  <c r="G227" i="6"/>
  <c r="E227" i="6" s="1"/>
  <c r="D227" i="6"/>
  <c r="E226" i="6"/>
  <c r="D226" i="6"/>
  <c r="G166" i="6"/>
  <c r="E166" i="6" s="1"/>
  <c r="D166" i="6"/>
  <c r="J165" i="6"/>
  <c r="H165" i="6" s="1"/>
  <c r="G165" i="6"/>
  <c r="E165" i="6" s="1"/>
  <c r="J164" i="6"/>
  <c r="H164" i="6" s="1"/>
  <c r="E164" i="6"/>
  <c r="J163" i="6"/>
  <c r="G163" i="6"/>
  <c r="E161" i="6" s="1"/>
  <c r="J161" i="6"/>
  <c r="J126" i="6"/>
  <c r="H126" i="6" s="1"/>
  <c r="G126" i="6"/>
  <c r="E126" i="6" s="1"/>
  <c r="G102" i="6"/>
  <c r="G101" i="6"/>
  <c r="J91" i="6"/>
  <c r="G95" i="6"/>
  <c r="G93" i="6"/>
  <c r="G92" i="6"/>
  <c r="G91" i="6"/>
  <c r="G90" i="6"/>
  <c r="J89" i="6"/>
  <c r="G89" i="6"/>
  <c r="D89" i="6"/>
  <c r="G73" i="6"/>
  <c r="G72" i="6"/>
  <c r="G71" i="6"/>
  <c r="G70" i="6"/>
  <c r="E65" i="6" s="1"/>
  <c r="J67" i="6"/>
  <c r="J66" i="6"/>
  <c r="J65" i="6"/>
  <c r="J54" i="6"/>
  <c r="H54" i="6" s="1"/>
  <c r="E54" i="6"/>
  <c r="D54" i="6"/>
  <c r="G33" i="6"/>
  <c r="E33" i="6" s="1"/>
  <c r="D33" i="6"/>
  <c r="G32" i="6"/>
  <c r="G30" i="6"/>
  <c r="G29" i="6"/>
  <c r="J28" i="6"/>
  <c r="J26" i="6"/>
  <c r="D26" i="6"/>
  <c r="H25" i="6"/>
  <c r="G25" i="6"/>
  <c r="E25" i="6" s="1"/>
  <c r="D25" i="6"/>
  <c r="H24" i="6"/>
  <c r="G24" i="6"/>
  <c r="E24" i="6" s="1"/>
  <c r="D24" i="6"/>
  <c r="H250" i="6" l="1"/>
  <c r="E250" i="6"/>
  <c r="H276" i="6"/>
  <c r="H287" i="6"/>
  <c r="H65" i="6"/>
  <c r="H89" i="6"/>
  <c r="H26" i="6"/>
  <c r="H61" i="6" s="1"/>
  <c r="H63" i="6" s="1"/>
  <c r="E89" i="6"/>
  <c r="E101" i="6"/>
  <c r="J61" i="6"/>
  <c r="J63" i="6" s="1"/>
  <c r="E300" i="6"/>
  <c r="E29" i="6"/>
  <c r="E61" i="6" s="1"/>
  <c r="E63" i="6" s="1"/>
  <c r="G61" i="6"/>
  <c r="G63" i="6" s="1"/>
  <c r="E276" i="6"/>
  <c r="E287" i="6"/>
  <c r="E295" i="6"/>
  <c r="E228" i="6"/>
  <c r="H161" i="6"/>
  <c r="G304" i="6"/>
  <c r="G306" i="6" s="1"/>
  <c r="J304" i="6"/>
  <c r="J306" i="6" s="1"/>
  <c r="E304" i="6" l="1"/>
  <c r="H304" i="6"/>
  <c r="H306" i="6" s="1"/>
  <c r="J307" i="6"/>
  <c r="H307" i="6" l="1"/>
  <c r="H309" i="6" s="1"/>
  <c r="E306" i="6"/>
  <c r="E307" i="6" l="1"/>
  <c r="E309" i="6" s="1"/>
  <c r="G307" i="6"/>
</calcChain>
</file>

<file path=xl/comments1.xml><?xml version="1.0" encoding="utf-8"?>
<comments xmlns="http://schemas.openxmlformats.org/spreadsheetml/2006/main">
  <authors>
    <author>Автор</author>
  </authors>
  <commentList>
    <comment ref="F25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751868
</t>
        </r>
      </text>
    </comment>
    <comment ref="F61" authorId="0">
      <text>
        <r>
          <rPr>
            <b/>
            <sz val="9"/>
            <color indexed="81"/>
            <rFont val="Tahoma"/>
            <family val="2"/>
            <charset val="204"/>
          </rPr>
          <t>№707884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204"/>
          </rPr>
          <t>№237</t>
        </r>
      </text>
    </comment>
    <comment ref="F87" authorId="0">
      <text>
        <r>
          <rPr>
            <b/>
            <sz val="9"/>
            <color indexed="81"/>
            <rFont val="Tahoma"/>
            <family val="2"/>
            <charset val="204"/>
          </rPr>
          <t>№238</t>
        </r>
      </text>
    </comment>
    <comment ref="G1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госпошлина камазы
</t>
        </r>
      </text>
    </comment>
    <comment ref="J1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госпошлина камазы
</t>
        </r>
      </text>
    </comment>
    <comment ref="G1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билеты ржд Корышев
</t>
        </r>
      </text>
    </comment>
    <comment ref="J1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билеты ржд Корышев
</t>
        </r>
      </text>
    </comment>
    <comment ref="G15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командировочные Корышев
</t>
        </r>
      </text>
    </comment>
    <comment ref="J15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командировочные Корышев
</t>
        </r>
      </text>
    </comment>
    <comment ref="G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командировочные Корышев
</t>
        </r>
      </text>
    </comment>
    <comment ref="J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командировочные Корышев
</t>
        </r>
      </text>
    </comment>
    <comment ref="F154" authorId="0">
      <text>
        <r>
          <rPr>
            <b/>
            <sz val="9"/>
            <color indexed="81"/>
            <rFont val="Tahoma"/>
            <family val="2"/>
            <charset val="204"/>
          </rPr>
          <t>№721800</t>
        </r>
      </text>
    </comment>
    <comment ref="F222" authorId="0">
      <text>
        <r>
          <rPr>
            <b/>
            <sz val="9"/>
            <color indexed="81"/>
            <rFont val="Tahoma"/>
            <family val="2"/>
            <charset val="204"/>
          </rPr>
          <t>721801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25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751868
</t>
        </r>
      </text>
    </comment>
    <comment ref="F65" authorId="0">
      <text>
        <r>
          <rPr>
            <b/>
            <sz val="9"/>
            <color indexed="81"/>
            <rFont val="Tahoma"/>
            <family val="2"/>
            <charset val="204"/>
          </rPr>
          <t>№707884</t>
        </r>
      </text>
    </commen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№235</t>
        </r>
      </text>
    </comment>
    <comment ref="F90" authorId="0">
      <text>
        <r>
          <rPr>
            <b/>
            <sz val="9"/>
            <color indexed="81"/>
            <rFont val="Tahoma"/>
            <family val="2"/>
            <charset val="204"/>
          </rPr>
          <t>№236</t>
        </r>
      </text>
    </comment>
    <comment ref="F91" authorId="0">
      <text>
        <r>
          <rPr>
            <b/>
            <sz val="9"/>
            <color indexed="81"/>
            <rFont val="Tahoma"/>
            <family val="2"/>
            <charset val="204"/>
          </rPr>
          <t>№237</t>
        </r>
      </text>
    </comment>
    <comment ref="F92" authorId="0">
      <text>
        <r>
          <rPr>
            <b/>
            <sz val="9"/>
            <color indexed="81"/>
            <rFont val="Tahoma"/>
            <family val="2"/>
            <charset val="204"/>
          </rPr>
          <t>№238</t>
        </r>
      </text>
    </comment>
    <comment ref="G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госпошлина камазы
</t>
        </r>
      </text>
    </comment>
    <comment ref="J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госпошлина камазы
</t>
        </r>
      </text>
    </comment>
    <comment ref="G1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билеты ржд Корышев
</t>
        </r>
      </text>
    </comment>
    <comment ref="J1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билеты ржд Корышев
</t>
        </r>
      </text>
    </comment>
    <comment ref="G15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командировочные Корышев
</t>
        </r>
      </text>
    </comment>
    <comment ref="J15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командировочные Корышев
</t>
        </r>
      </text>
    </comment>
    <comment ref="G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командировочные Корышев
</t>
        </r>
      </text>
    </comment>
    <comment ref="J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командировочные Корышев
</t>
        </r>
      </text>
    </comment>
    <comment ref="F161" authorId="0">
      <text>
        <r>
          <rPr>
            <b/>
            <sz val="9"/>
            <color indexed="81"/>
            <rFont val="Tahoma"/>
            <family val="2"/>
            <charset val="204"/>
          </rPr>
          <t>№721800</t>
        </r>
      </text>
    </comment>
    <comment ref="F232" authorId="0">
      <text>
        <r>
          <rPr>
            <b/>
            <sz val="9"/>
            <color indexed="81"/>
            <rFont val="Tahoma"/>
            <family val="2"/>
            <charset val="204"/>
          </rPr>
          <t>721801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<sst xmlns="http://schemas.openxmlformats.org/spreadsheetml/2006/main" count="1548" uniqueCount="628">
  <si>
    <t>ОТЧЕТ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</si>
  <si>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на 2012 – 2018 годы (в рамках реализации Концессионного соглашения от 23.03.2012 г)» ООО "РВК-Воронеж"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</si>
  <si>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</si>
  <si>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</si>
  <si>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</si>
  <si>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</si>
  <si>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</si>
  <si>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</si>
  <si>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</si>
  <si>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</si>
  <si>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</si>
  <si>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</si>
  <si>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</si>
  <si>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</si>
  <si>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Реконструкция ПС-10. Комплекс работ по техническому перевооружению оборудования насосной станции.  (инв. №10000152) (Реконструкция  ПС-10)</t>
  </si>
  <si>
    <t>АО "Гидромашсервис"</t>
  </si>
  <si>
    <t>748/15 от 29.12.15 (часть)</t>
  </si>
  <si>
    <t>№678 от 27.02.2017 (часть)</t>
  </si>
  <si>
    <t>__</t>
  </si>
  <si>
    <t>Реконструкция ПС-13. Комплекс работ по техническому перевооружению оборудования насосной станции. (инв. №10000261) (Реконструкция  ПС-13)</t>
  </si>
  <si>
    <t>748/15 от 29.12.15  (часть)</t>
  </si>
  <si>
    <t>Реконструкция ПС-14. Комплекс работ по техническому перевооружению оборудования насосной станции. (инв. №10000483) (Реконструкция  ПС-14)</t>
  </si>
  <si>
    <t>ПИР, СМР. Строительство сетей водоснабжения в микрорайоне Никольское</t>
  </si>
  <si>
    <t>ООО "Экопроект ЦЧР"</t>
  </si>
  <si>
    <t xml:space="preserve">535/16 от 01.11.16 </t>
  </si>
  <si>
    <t>Акт №14 от 27.01.2017</t>
  </si>
  <si>
    <t>ООО "ЭкоСтрой"</t>
  </si>
  <si>
    <t xml:space="preserve"> 541/16 от 15.11.16</t>
  </si>
  <si>
    <t>№148 от 17.01.2017</t>
  </si>
  <si>
    <t>КС-2, КС-3 №1 от 09.03.2017</t>
  </si>
  <si>
    <t xml:space="preserve">№660657 от 20.02.2017 </t>
  </si>
  <si>
    <t>№1868 от 30.03.2017</t>
  </si>
  <si>
    <t>ЗАО "Воронеж-Пласт"</t>
  </si>
  <si>
    <t>514/16 от 24.10.2016</t>
  </si>
  <si>
    <t>№3 от 09.01.2017</t>
  </si>
  <si>
    <t>Давальческие материалы ООО "ЭкоСтрой"  (март)</t>
  </si>
  <si>
    <t>Всего по ВОДОСНАБЖЕНИЮ</t>
  </si>
  <si>
    <t>Расходы заказчика-застройщика по водоснабжению</t>
  </si>
  <si>
    <t>ИТОГО по ВОДОСНАБЖЕНИЮ, в т.ч. Расходы заказчика-застройщика</t>
  </si>
  <si>
    <t>ВОДООТВЕДЕНИЕ</t>
  </si>
  <si>
    <t>ПИР, СМР. Реконструкция аэротенков с внедрением современных технологий нитри-денитрификации (инв. № 20000328) (ПИР: Проектно-изыскательские работы)</t>
  </si>
  <si>
    <t>ООО "Укрепрайон"</t>
  </si>
  <si>
    <t>728/14 от 28.11.14</t>
  </si>
  <si>
    <t>№875 от 02.03.2017</t>
  </si>
  <si>
    <t>КС-2, КС-3 №32 от 27.01.2017</t>
  </si>
  <si>
    <t>№729690 от 22.03.2017</t>
  </si>
  <si>
    <t>КС-2, КС-3 №33 от 28.02.2017</t>
  </si>
  <si>
    <t>№729691 от 22.03.2017</t>
  </si>
  <si>
    <t>КС-2, КС-3 №34 от 28.02.2017</t>
  </si>
  <si>
    <t>КС-2, КС-3 №35 от 22.03.2017</t>
  </si>
  <si>
    <t>КС-2, КС-3 №36 от 22.03.2017</t>
  </si>
  <si>
    <t xml:space="preserve">427/15 от 30.09.15 </t>
  </si>
  <si>
    <t xml:space="preserve">№659 от 20.02.2017 </t>
  </si>
  <si>
    <t>КС-2, КС-3 №18 от 27.01.2017</t>
  </si>
  <si>
    <t xml:space="preserve">№661 от 20.02.2017 </t>
  </si>
  <si>
    <t xml:space="preserve">№682 от 20.02.2017 </t>
  </si>
  <si>
    <t xml:space="preserve">№658 от 20.02.2017 </t>
  </si>
  <si>
    <t xml:space="preserve">№660660 от 20.02.2017 </t>
  </si>
  <si>
    <t>№729689 от 22.03.2017</t>
  </si>
  <si>
    <t>АО "МАЙ ПРОЕКТ"</t>
  </si>
  <si>
    <t>№646189 от 27.01.2017</t>
  </si>
  <si>
    <t>Корректировка долга 20.01.2017</t>
  </si>
  <si>
    <t>№729683 от 22.03.2017</t>
  </si>
  <si>
    <t>№729684 от 22.03.2017</t>
  </si>
  <si>
    <t>№729685 от 22.03.2017</t>
  </si>
  <si>
    <t>№729686 от 22.03.2017</t>
  </si>
  <si>
    <t>№729687 от 22.03.2017</t>
  </si>
  <si>
    <t>№729688 от 22.03.2017</t>
  </si>
  <si>
    <t>ПИР, СМР. Реконструкция главного Левобережного коллектора Д-2000 мм протяженностью L-3000 п.м.  (инв. №30014578 «Канализационные сети Левобережного района»).</t>
  </si>
  <si>
    <t>ООО "Производственная фирма "СТИС"</t>
  </si>
  <si>
    <t>430/16 от 20.09.2016</t>
  </si>
  <si>
    <t>№1800 от 24.03.2017</t>
  </si>
  <si>
    <t>КС-2, КС-3 №3 от 28.02.2017</t>
  </si>
  <si>
    <t>КС-2, КС-3 №4 от 01.03.2017</t>
  </si>
  <si>
    <t>Давальческие материалы ООО "Производственная фирма "СТИС" (март)</t>
  </si>
  <si>
    <t>ПИР, СМР. Строительство канализационных сетей и сооружений в микрорайоне Никольское</t>
  </si>
  <si>
    <t>ООО "АгроПроектИнжиниринг"</t>
  </si>
  <si>
    <t>79/16 от 19.02.16</t>
  </si>
  <si>
    <t>№185 от 18.01.2017</t>
  </si>
  <si>
    <t>ПИР, СМР. Реконструкция канализационных линий, подводящих сточные воды к КНС-5</t>
  </si>
  <si>
    <t>ООО "ТЕХНОЛОГИИ XXI ВЕК"</t>
  </si>
  <si>
    <t>346/16 от 27.07.16, д/с №616/16 от 27.07.16</t>
  </si>
  <si>
    <t>ООО "ПОЛИПЛАСТИК Поволжье"</t>
  </si>
  <si>
    <t>594/16 от 12.12.16</t>
  </si>
  <si>
    <t>№153 от 17.01.2017</t>
  </si>
  <si>
    <t xml:space="preserve">ПИР, СМР. Реконструкция канализационных линий от многоквартирных домов, расположенных по пр. Труда №73-87 с подключением к муниципальным сетям </t>
  </si>
  <si>
    <t>ООО "ЭНЕРГОСТРОЙ"</t>
  </si>
  <si>
    <t>364/16 от 08.08.16</t>
  </si>
  <si>
    <t>№1801 от 24.03.2017</t>
  </si>
  <si>
    <t>Строительство Сочинского коллектора</t>
  </si>
  <si>
    <t>ООО "ТЕХНОЛОГИИ 21 ВЕК"</t>
  </si>
  <si>
    <t>540/16 от 03.11.2016</t>
  </si>
  <si>
    <t>№707886 от 02.03.2017</t>
  </si>
  <si>
    <t xml:space="preserve">КС-2, КС-3 №2 от 20.02.2017 </t>
  </si>
  <si>
    <t>№729594 от 17.03.2017</t>
  </si>
  <si>
    <t>№729695 от 22.03.2017</t>
  </si>
  <si>
    <t>ПИР, СМР. Реконструкция КНС-9 (инв. №10000462) с заменой оборудования</t>
  </si>
  <si>
    <t>ООО "Строительные технологии</t>
  </si>
  <si>
    <t>562/16 от 17.11.2016</t>
  </si>
  <si>
    <t xml:space="preserve">№648349 от 07.02.2017 </t>
  </si>
  <si>
    <t>КС-2, КС-3 №3 от 27.02.2017</t>
  </si>
  <si>
    <t xml:space="preserve">№660665 от 20.02.2017 </t>
  </si>
  <si>
    <t>№729692 от 22.03.2017</t>
  </si>
  <si>
    <t>КС-2, КС-3 №4 от 15.03.2017</t>
  </si>
  <si>
    <t>ПИР, СМР. Реконструкция КНС-6 (инв. №10000384) с заменой оборудования</t>
  </si>
  <si>
    <t>ООО "Строительные технологии"</t>
  </si>
  <si>
    <t>563/16 от 17.11.2016</t>
  </si>
  <si>
    <t>№648348 от 07.02.2017</t>
  </si>
  <si>
    <t xml:space="preserve">№660664 от 20.02.2017 </t>
  </si>
  <si>
    <t>№729693 от 22.03.2017</t>
  </si>
  <si>
    <t>ПИР, СМР. Реконструкция КНС-8 (инв. №10000386) с заменой оборудования</t>
  </si>
  <si>
    <t>ООО "Производственная фирма "СТИС""</t>
  </si>
  <si>
    <t xml:space="preserve">451/16 от 30.09.16 </t>
  </si>
  <si>
    <t xml:space="preserve">№649561 от 10.02.2017 </t>
  </si>
  <si>
    <t>212/16 от 20.05.16, д/с № 1/672/16 от 22.12.2016</t>
  </si>
  <si>
    <t>№729694 от 22.03.2017</t>
  </si>
  <si>
    <t>Создание гидравлической модели работы системы водоотведения</t>
  </si>
  <si>
    <t>ООО НПП "КОМПЬЮТЕРНЫЕ ТЕХНОЛОГИИ"</t>
  </si>
  <si>
    <t>337/16 от 21.07.16</t>
  </si>
  <si>
    <t xml:space="preserve">№648381 от 09.02.2017 </t>
  </si>
  <si>
    <t xml:space="preserve">№649501 от 13.02.2017 </t>
  </si>
  <si>
    <t xml:space="preserve">Создание системы охраны периметра ГКНС, РКНС </t>
  </si>
  <si>
    <t>ООО "ТВ-Сервис"</t>
  </si>
  <si>
    <t>565/16 от 21.11.2016</t>
  </si>
  <si>
    <t>№281 от 24.01.2017</t>
  </si>
  <si>
    <t>ИТОГО по ВОДООТВЕДЕНИЮ</t>
  </si>
  <si>
    <t>Расходы заказчика-застройщика по водоотведению</t>
  </si>
  <si>
    <t>ИТОГО по ВОДООТВЕДЕНИЮ, в т.ч. Расходы заказчика-застройщика</t>
  </si>
  <si>
    <t>ВСЕГО по ВОДОСНАБЖЕНИЮ и ВОДООТВЕДЕНИЮ, в т.ч. Расходы заказчика-застройщика</t>
  </si>
  <si>
    <t>Справочно</t>
  </si>
  <si>
    <t>Структура финансовых потоков по инвестиционной программе (ИП), тыс.руб.</t>
  </si>
  <si>
    <t>Показатель</t>
  </si>
  <si>
    <t>Начисление</t>
  </si>
  <si>
    <t>Финансирование</t>
  </si>
  <si>
    <t xml:space="preserve">Выполнение / Финансирование мероприятий ИП, с НДС </t>
  </si>
  <si>
    <t>Привлечение кредитов</t>
  </si>
  <si>
    <t>Расходы на обслуживание кредитов с НДС, в т.ч.</t>
  </si>
  <si>
    <t xml:space="preserve">- банковская гарантия </t>
  </si>
  <si>
    <t>- расходы на %% по кредитам</t>
  </si>
  <si>
    <t>Обязательство по налогу на прибыль (расчетно по ИП)</t>
  </si>
  <si>
    <t>НДС итого (обязательство по уплате в бюджет (+) / к возмещению из бюджета (-)), в т. ч.</t>
  </si>
  <si>
    <t>Возмещение НДС с расходов по инвестиционным мероприятиям</t>
  </si>
  <si>
    <t>НДС к уплате (расчетный)</t>
  </si>
  <si>
    <t>Выручка по ВиВ в части инвест составляющей с НДС / Поступление выручки по ВиВ в части инвест составляющей с НДС за вычетом резерва по дебиторской задолженности</t>
  </si>
  <si>
    <t xml:space="preserve">Финансовый директор </t>
  </si>
  <si>
    <t>С.В. Туршатова</t>
  </si>
  <si>
    <t>Начальник ОРИП</t>
  </si>
  <si>
    <t>Е.С. Александрова</t>
  </si>
  <si>
    <t>550/16 от 09.11.2016</t>
  </si>
  <si>
    <t>КС-2, КС-3 №3 от 27.04.2017</t>
  </si>
  <si>
    <t>КС-2, КС-3 №3 от 03.04.2017</t>
  </si>
  <si>
    <t>КС-2, КС-3 №3 от 26.04.2017</t>
  </si>
  <si>
    <t xml:space="preserve">КС-2, КС-3 №2 от 18.04.2017 </t>
  </si>
  <si>
    <t>КС-2, КС-3 №38 от 26.04.2017</t>
  </si>
  <si>
    <t>КС-2, КС-3 №37 от 26.04.2017</t>
  </si>
  <si>
    <t>Акт №105 от 03.04.2017</t>
  </si>
  <si>
    <t>КС-2, КС-3 №1 от 25.04.2017</t>
  </si>
  <si>
    <t>Корректировочный акт от 25.04.2017</t>
  </si>
  <si>
    <t>ООО Премьер</t>
  </si>
  <si>
    <t>КС-2, КС-3 №19 от 26.04.2017</t>
  </si>
  <si>
    <t>КС-2, КС-3 №2 от 25.04.2018</t>
  </si>
  <si>
    <t>91/17 от 01.03.2017</t>
  </si>
  <si>
    <t>Договор о уступки прав требований от 06.02.2017</t>
  </si>
  <si>
    <t>ПИР Реконструкция  ВПС-6. Комплекс работ по техническому перевооружению оборудования машинных залов. (инв. №100000077)</t>
  </si>
  <si>
    <t>ООО "Инженерная геодезия и топография"</t>
  </si>
  <si>
    <t>КС-2, КС-3 №5 от 15.05.2017</t>
  </si>
  <si>
    <t>Накладная №10 от 26.04.2017</t>
  </si>
  <si>
    <t>ООО "ПОЛИПЛАСТИК Поволжье" (давальческий для "СТИС")</t>
  </si>
  <si>
    <t>КС-2, КС-3 №3 от 31.05.2017</t>
  </si>
  <si>
    <t>КС-2, КС-3 №5 от 31.05.2017</t>
  </si>
  <si>
    <t>КС-2, КС-3 №4 от 25.05.2017</t>
  </si>
  <si>
    <t>Акт №142 от 31.05.2017</t>
  </si>
  <si>
    <t>КС-2, КС-3 №20 от 25.05.2017</t>
  </si>
  <si>
    <t>КС-2, КС-3 №39 от 25.05.2017</t>
  </si>
  <si>
    <t>Акт от 29.05.2017</t>
  </si>
  <si>
    <t>№1917 от 03.04.2017</t>
  </si>
  <si>
    <t>№2030 от 10.04.2017</t>
  </si>
  <si>
    <t>№2031 от 10.04.2017</t>
  </si>
  <si>
    <t>№2029 от 10.04.2017</t>
  </si>
  <si>
    <t>№2322 от 21.04.2017</t>
  </si>
  <si>
    <t>№2323 от 21.04.2017</t>
  </si>
  <si>
    <t>№4504 от 29.05.2017</t>
  </si>
  <si>
    <t>№4487 от 29.05.2017</t>
  </si>
  <si>
    <t>№4486 от 29.05.2017</t>
  </si>
  <si>
    <t>№4485 от 29.05.2017</t>
  </si>
  <si>
    <t>№4498 от 29.05.2017</t>
  </si>
  <si>
    <t>№4505 от 29.05.2017</t>
  </si>
  <si>
    <t>№4506 от 29.05.2017</t>
  </si>
  <si>
    <t>№4501 от 29.05.2017</t>
  </si>
  <si>
    <t>№4499 от 29.05.2017</t>
  </si>
  <si>
    <t>№4500 от 29.05.2017</t>
  </si>
  <si>
    <t>№4509 от 29.05.2017</t>
  </si>
  <si>
    <t>№4508 от 29.05.2017</t>
  </si>
  <si>
    <t>№4511 от 29.05.2017</t>
  </si>
  <si>
    <t>№4510 от 29.05.2017</t>
  </si>
  <si>
    <t>№4507 от 29.05.2017</t>
  </si>
  <si>
    <t>ООО "ЭкспертПроект"</t>
  </si>
  <si>
    <t>218/17 от 24.04.2017</t>
  </si>
  <si>
    <t>ИП Строительство цеха механического обезвоживания осадка (ЦМО) на ПОС ПИР.СМР.</t>
  </si>
  <si>
    <t xml:space="preserve">351/17 от 31.05.2017 </t>
  </si>
  <si>
    <t>Капитализация процентов июнь</t>
  </si>
  <si>
    <t xml:space="preserve">№5387 от 23.06.2017 </t>
  </si>
  <si>
    <t xml:space="preserve">№5389 от 23.06.2017 </t>
  </si>
  <si>
    <t>№5390 от 23.06.2017</t>
  </si>
  <si>
    <t>№5537 от 30.06.2017</t>
  </si>
  <si>
    <t>№5450 от 28.06.2017</t>
  </si>
  <si>
    <t>КС-2, КС-3 №6 от 23.06.2017</t>
  </si>
  <si>
    <t>Акт №84 от 05.06.2017</t>
  </si>
  <si>
    <t>Акт сдачи от 30.06.2017</t>
  </si>
  <si>
    <t>КС-2, КС-3 №40 от 23.06.2017</t>
  </si>
  <si>
    <t>КС-2, КС-3 №4 от 23.06.2017</t>
  </si>
  <si>
    <t>Письмо 1868/17 от 03.02.2017</t>
  </si>
  <si>
    <t>Приобретение основных средств (технологическое оборудование, автотранспорт, спецтехника, сварочное оборудование, средства малой механизации)</t>
  </si>
  <si>
    <t>ООО "База приборов"</t>
  </si>
  <si>
    <t>№265/17 от 17.05.2017</t>
  </si>
  <si>
    <t>Модернизация сетей и сооружений водоотведения в жилом массиве "Задонье"</t>
  </si>
  <si>
    <t>ВоронежТехСтрой ООО</t>
  </si>
  <si>
    <t xml:space="preserve">358/17 от 28.06.2017 </t>
  </si>
  <si>
    <t>102/16 от 09.03.2016</t>
  </si>
  <si>
    <t>ООО "НОВЫЙ ПРОЕКТ"</t>
  </si>
  <si>
    <t>487/16 04.10.2016</t>
  </si>
  <si>
    <t>Строительство ВПС-21 (Переоценка запасов подземных вод, ПИР)</t>
  </si>
  <si>
    <t>546/16 от 08.11.2016</t>
  </si>
  <si>
    <t>МКП "УПРАВЛЕНИЕ ГЛАВНОГО АРХИТЕКТОРА"</t>
  </si>
  <si>
    <t>549/16 09.11.2016</t>
  </si>
  <si>
    <t>187/16 от 06.05.16</t>
  </si>
  <si>
    <t>Дополнительное соглашение к договору № 187/16 от 06.05.2016</t>
  </si>
  <si>
    <t>ООО "Гнб36строй"</t>
  </si>
  <si>
    <t>№ 433/17 от 25.07.2017</t>
  </si>
  <si>
    <t xml:space="preserve">Реконструкция коллектора по ул. Патриотов (75 п.м. от К-6 до К-7) </t>
  </si>
  <si>
    <t>ООО "Метапласт-С"</t>
  </si>
  <si>
    <t>№ 423/17 от 17.07.2017</t>
  </si>
  <si>
    <t>ООО УК "РОСВОДОКАНАЛ"</t>
  </si>
  <si>
    <t>№ 138/14 от 12.03.2014г.</t>
  </si>
  <si>
    <t>ООО "СтройПроектЭкспертСервис"</t>
  </si>
  <si>
    <t>625/16 15.12.2016</t>
  </si>
  <si>
    <t>КС-2, КС-3 №7 от 31.07.2017</t>
  </si>
  <si>
    <t xml:space="preserve">КС-2, КС-3 №1 от 14.07.2017 </t>
  </si>
  <si>
    <t>Акт №003/2017-РВК от 31.07.2017</t>
  </si>
  <si>
    <t>КС-2, КС-3 №41 от 26.07.2017</t>
  </si>
  <si>
    <t>КС-2 №1 от 03.08.2017
Акт от 03.08.2017</t>
  </si>
  <si>
    <t>КС-2, КС-3 №42 от 31.08.2017</t>
  </si>
  <si>
    <t>КС-2, КС-3 №21 от 31.08.2017</t>
  </si>
  <si>
    <t>КС-2, КС-3 №44 от 31.08.2017</t>
  </si>
  <si>
    <t>КС-2, КС-3 №8 от 31.08.2017</t>
  </si>
  <si>
    <t>Акт №0004465 от 31.08.2017</t>
  </si>
  <si>
    <t>КС-2, КС-3 №45 от 31.08.2017</t>
  </si>
  <si>
    <t>КС-2, КС-3 №43 от 31.08.2017</t>
  </si>
  <si>
    <t>Капитализация процентов июль</t>
  </si>
  <si>
    <t>Капитализация процентов август</t>
  </si>
  <si>
    <t>Капитализация процентов сентябрь</t>
  </si>
  <si>
    <t>-</t>
  </si>
  <si>
    <t>Давальческий материал (сентябрь)</t>
  </si>
  <si>
    <t>Давальческий материал (август)</t>
  </si>
  <si>
    <t>Акт №2 от 28.07.2017</t>
  </si>
  <si>
    <t>КС-14 от 31.08.2017
 КС-3 №5 от 31.08.2017</t>
  </si>
  <si>
    <t>Счет-фактура №613 от 20.06.2017</t>
  </si>
  <si>
    <t>№8487 от 27.07.2017</t>
  </si>
  <si>
    <t xml:space="preserve">№9787 от 08.09.2017 </t>
  </si>
  <si>
    <t>№8484 от 27.07.2017</t>
  </si>
  <si>
    <t>№8480 от 27.07.2017</t>
  </si>
  <si>
    <t>№9166 от 24.08.2017</t>
  </si>
  <si>
    <t>№9168 от 24.08.2018</t>
  </si>
  <si>
    <t>ООО "ГЕА Вестфалия Сепаратор Си Ай Эс"</t>
  </si>
  <si>
    <t xml:space="preserve">56/17 от 07.02.17 </t>
  </si>
  <si>
    <t>№8485 от 27.07.2017</t>
  </si>
  <si>
    <t>№ 361/17 от 29.06.2017</t>
  </si>
  <si>
    <t>№9170 от 24.08.2017</t>
  </si>
  <si>
    <t>№9171 от 24.08.2017</t>
  </si>
  <si>
    <t xml:space="preserve">№9789 от 08.09.2017 </t>
  </si>
  <si>
    <t xml:space="preserve">№9172 от 24.08.2017 </t>
  </si>
  <si>
    <t>№8482 от 27.07.2017</t>
  </si>
  <si>
    <t>№8483 от 27.07.2017</t>
  </si>
  <si>
    <t>№9165 от 24.08.2017</t>
  </si>
  <si>
    <t>№9788 от 08.09.2017</t>
  </si>
  <si>
    <t>№9790 от 08.09.2017</t>
  </si>
  <si>
    <t>№9180 от 24.08.2017</t>
  </si>
  <si>
    <t>КС-2, КС-3 №6 от 31.07.2017</t>
  </si>
  <si>
    <t>№9179 от 24.08.2017</t>
  </si>
  <si>
    <t xml:space="preserve">№8489 от 27.07.2017 </t>
  </si>
  <si>
    <t>№9178 от 24.08.2017</t>
  </si>
  <si>
    <t>ООО "ТЕХСТРОЙ"</t>
  </si>
  <si>
    <t>№ 354/17 от 27.06.2017</t>
  </si>
  <si>
    <t>№9169 от 24.08.2017</t>
  </si>
  <si>
    <t>ООО "Пайп Трейд Крым"</t>
  </si>
  <si>
    <t>№ 376/17 от 30.06.2017</t>
  </si>
  <si>
    <t>№9173 от 24.08.2017</t>
  </si>
  <si>
    <t>КС-2, КС-3 №9 от 29.09.2017</t>
  </si>
  <si>
    <t>КС-2, КС-3 №22 от 29.09.2017</t>
  </si>
  <si>
    <t>КС-3 №1 от 29.09.2017</t>
  </si>
  <si>
    <t>Акт №2 от 29.09.2017</t>
  </si>
  <si>
    <t>Письмо 
И-0073 от 28.08.2017</t>
  </si>
  <si>
    <t>Письмо 
И-0072 от 28.08.2017</t>
  </si>
  <si>
    <t>Письмо 
И-0074 от 28.08.2017</t>
  </si>
  <si>
    <t>КС-2, КС-3 №1 от 29.09.2017</t>
  </si>
  <si>
    <t>КС-2, КС-3 №46 от 29.09.2017</t>
  </si>
  <si>
    <t>Акт №35 от 01.09.2017</t>
  </si>
  <si>
    <t>№9008 от 21.08.2017</t>
  </si>
  <si>
    <t>№10827 от 29.09.2017</t>
  </si>
  <si>
    <t>январь-декабрь 2017 г.</t>
  </si>
  <si>
    <t>ПИР, СМР. Реконструкция очистных сооружений с деманганацией подземных вод на ВПС-12 (инв. №10000234)</t>
  </si>
  <si>
    <t>ПИР, СМР. Реконструкция очистных сооружений с деманганацией подземных вод на ВПС-8 (инв. №10000137)</t>
  </si>
  <si>
    <t xml:space="preserve">391/17 от 06.07.2017 </t>
  </si>
  <si>
    <t>14184 от 07.12.2017</t>
  </si>
  <si>
    <t>ООО "ЭЛИТА -Регион"</t>
  </si>
  <si>
    <t>№ 696/17 от 27.10.2017</t>
  </si>
  <si>
    <t>ООО "ПК "ДЭЛФ"</t>
  </si>
  <si>
    <t xml:space="preserve">15510 от 21.12.2017 </t>
  </si>
  <si>
    <t>ООО "Полипластик Поволжье"</t>
  </si>
  <si>
    <t>16972 от 29.12.2017</t>
  </si>
  <si>
    <t>14185 от 07.12.2017</t>
  </si>
  <si>
    <t xml:space="preserve">15509 от 21.12.2017 </t>
  </si>
  <si>
    <t>16973 от 29.12.2017</t>
  </si>
  <si>
    <t>№14477 от 14.12.2017</t>
  </si>
  <si>
    <t>ПИР, СМР. Реконструкция канализационной линии по ул. Дубровина Д=250-450мм протяжённостью L=1700 п.м. (инв. №30014578 «Канализационные сети Левобережного района»)</t>
  </si>
  <si>
    <t>№712/17 от 09.11.2017</t>
  </si>
  <si>
    <t>ООО "СК ЕВРОМОНТАЖ"</t>
  </si>
  <si>
    <t>14479 от 14.12.2017</t>
  </si>
  <si>
    <t>14478 от 14.12.2017</t>
  </si>
  <si>
    <t>14480 от 14.12.2017</t>
  </si>
  <si>
    <t>14481 от 14.12.2017</t>
  </si>
  <si>
    <t>14482 от 14.12.2017</t>
  </si>
  <si>
    <t>14483 от 14.12.2017</t>
  </si>
  <si>
    <t>№749/17 от 20.11.2017</t>
  </si>
  <si>
    <t>ООО "ВоронежТехСтрой"</t>
  </si>
  <si>
    <t xml:space="preserve">14484 от 14.12.2017 </t>
  </si>
  <si>
    <t>№774/17 от 28.11.2017</t>
  </si>
  <si>
    <t>ООО "Территориальная строительная компания"</t>
  </si>
  <si>
    <t>14485 от 14.12.2017</t>
  </si>
  <si>
    <t>№776/17 от 28.11.2017</t>
  </si>
  <si>
    <t>14486 от 14.12.2017</t>
  </si>
  <si>
    <t>№766/17 от 27.11.2017</t>
  </si>
  <si>
    <t>14487 от 14.12.2017</t>
  </si>
  <si>
    <t>ООО "Бурспецмонтаж"</t>
  </si>
  <si>
    <t>№775/17 от 28.11.2017</t>
  </si>
  <si>
    <t>14488 от 14.12.2017</t>
  </si>
  <si>
    <t>№778/17 от 28.11.2017</t>
  </si>
  <si>
    <t>14489 от 14.12.2017</t>
  </si>
  <si>
    <t>№754/17 от 22.11.2017</t>
  </si>
  <si>
    <t>ООО "Новый проект"</t>
  </si>
  <si>
    <t>15979 от 28.12.2017</t>
  </si>
  <si>
    <t>ООО Торговый Дом "ПРОТЭК Стройкомплект"</t>
  </si>
  <si>
    <t>№ 656/17 от 13.10.2017</t>
  </si>
  <si>
    <t>16021 от 28.12.2017</t>
  </si>
  <si>
    <t>16022 от 28.12.2017</t>
  </si>
  <si>
    <t>№ 212/17 от 21.04.2017</t>
  </si>
  <si>
    <t>ООО "ВАЛРОСА"</t>
  </si>
  <si>
    <t>ООО "ИКАПЛАСТ-Воронеж"</t>
  </si>
  <si>
    <t>14540 от 15.12.2017</t>
  </si>
  <si>
    <t>№ 653/17 от 11.10.2017</t>
  </si>
  <si>
    <t xml:space="preserve">16018 от 28.12.2017 </t>
  </si>
  <si>
    <t>16996 от 29.12.2017</t>
  </si>
  <si>
    <t xml:space="preserve">14577 от 19.12.2017 </t>
  </si>
  <si>
    <t>353/16 03.08.2016</t>
  </si>
  <si>
    <t>№15880 от 25.12.2017</t>
  </si>
  <si>
    <t>ПИР Реконструкция  ВПС-11/2. Комплекс работ по техническому перевооружению оборудования машинных залов. Строительство ОРУ-35 кВ  (инв. №10000220)</t>
  </si>
  <si>
    <t>ПИР Реконструкция  ВПС-9 Комплекс работ по техническому перевооружению оборудования машинных залов. (инв. №1000138)</t>
  </si>
  <si>
    <t>ПИР Реконструкция  ВПС-3а Комплекс работ по техническому перевооружению оборудования машинных залов. (инв. №10000071)</t>
  </si>
  <si>
    <t>№642/17 от 09.10.2017</t>
  </si>
  <si>
    <t>ООО "Промышленные технологии"</t>
  </si>
  <si>
    <t>16020 от 28.12.2017</t>
  </si>
  <si>
    <t>10839 от 02.10.2017</t>
  </si>
  <si>
    <t>10840 от 02.10.2017</t>
  </si>
  <si>
    <t>10847 от 02.10.2017</t>
  </si>
  <si>
    <t>10848 от 02.10.2017</t>
  </si>
  <si>
    <t>10841 от 02.10.2017</t>
  </si>
  <si>
    <t>10842 от 02.10.2017</t>
  </si>
  <si>
    <t xml:space="preserve">10843 от 02.10.2017 </t>
  </si>
  <si>
    <t xml:space="preserve">10844 от 02.10.2017 </t>
  </si>
  <si>
    <t>10845 от 02.10.2017</t>
  </si>
  <si>
    <t>11492 от 30.10.2017</t>
  </si>
  <si>
    <t xml:space="preserve">11500 от 30.10.2017 </t>
  </si>
  <si>
    <t>11493 от 30.10.2017</t>
  </si>
  <si>
    <t>10846 от 02.10.2017</t>
  </si>
  <si>
    <t xml:space="preserve">10850 от 02.10.2017 </t>
  </si>
  <si>
    <t>11522 от 31.10.2017</t>
  </si>
  <si>
    <t xml:space="preserve">11495 от 30.10.2017 </t>
  </si>
  <si>
    <t>№10995 от 10.10.2017</t>
  </si>
  <si>
    <t>11504 от 30.10.2017</t>
  </si>
  <si>
    <t>Капитализация процентов октябрь</t>
  </si>
  <si>
    <t>Капитализация процентов ноябрь</t>
  </si>
  <si>
    <t>Капитализация процентов декабрь</t>
  </si>
  <si>
    <t>Давальческий материал (октябрь)</t>
  </si>
  <si>
    <t>Давальческие материалы (октябрь)</t>
  </si>
  <si>
    <t>за 12 месяцев 2017 года</t>
  </si>
  <si>
    <t>11675 от 09.11.2017</t>
  </si>
  <si>
    <t>12450 от 20.11.2017</t>
  </si>
  <si>
    <t>12451 от 20.11.2017</t>
  </si>
  <si>
    <t>12922 от 30.11.2017</t>
  </si>
  <si>
    <t xml:space="preserve">12043 от 13.11.2017 </t>
  </si>
  <si>
    <t>12449 от 20.11.2017</t>
  </si>
  <si>
    <t>12453 от 20.11.2017</t>
  </si>
  <si>
    <t>12459 от 20.11.2017</t>
  </si>
  <si>
    <t>12685 от 24.11.2017</t>
  </si>
  <si>
    <t>Давальческие материалы (ноябрь)</t>
  </si>
  <si>
    <t>Давальческий материал (ноябрь)</t>
  </si>
  <si>
    <t>262 от 22.12.2017</t>
  </si>
  <si>
    <t>Копия приказа К-17-11-20/1 от 20.11.2017</t>
  </si>
  <si>
    <t>Копия эл.билета  Воронеж-Москва 28/29.11.2017 78324663676076 от 18.11.2017</t>
  </si>
  <si>
    <t>Копия эл.билета  Москва-Воронеж 02.12.2017 78424663678946 от 18.11.2017</t>
  </si>
  <si>
    <t>Оплата гос.пошлины КАМАЗы</t>
  </si>
  <si>
    <t>12430 от 17.11.2017</t>
  </si>
  <si>
    <t>Реконструкция участка канализационных сетей п. Первого мая</t>
  </si>
  <si>
    <t>14567 от 18.12.2017</t>
  </si>
  <si>
    <t>№ 29/17 от 27.01.2017</t>
  </si>
  <si>
    <t>нет договора</t>
  </si>
  <si>
    <t>ООО "БМА Руссланд"</t>
  </si>
  <si>
    <t>5712 от 28.12.2017</t>
  </si>
  <si>
    <t>№871/17 от 25.12.2017</t>
  </si>
  <si>
    <t>4548 от 31.10.2017</t>
  </si>
  <si>
    <t>4549 от 31.10.2017</t>
  </si>
  <si>
    <t>4551 от 31.10.2017</t>
  </si>
  <si>
    <t xml:space="preserve">№468/15 от 16.10.2015 </t>
  </si>
  <si>
    <t>Доп.соглашение №1 от 03.10.2017</t>
  </si>
  <si>
    <t>4216 от 06.10.2017</t>
  </si>
  <si>
    <t>4565 от 10.10.2017</t>
  </si>
  <si>
    <t>4495 от 17.10.2017</t>
  </si>
  <si>
    <t>Акт сентябрь 2017</t>
  </si>
  <si>
    <t>4547 от 31.10.2017</t>
  </si>
  <si>
    <t>4550 от 31.10.2017</t>
  </si>
  <si>
    <t>№750/17 от 20.11.2017</t>
  </si>
  <si>
    <t>5206 от 30.11.2017</t>
  </si>
  <si>
    <t>5101 от 30.11.2017</t>
  </si>
  <si>
    <t>5218 от 20.11.2017</t>
  </si>
  <si>
    <t>№14204 от 07.12.2017</t>
  </si>
  <si>
    <t>№14205 от 07.12.2017</t>
  </si>
  <si>
    <t>№14206 от 07.12.2017</t>
  </si>
  <si>
    <t>№14207 от 07.12.2017</t>
  </si>
  <si>
    <t>5221 от 30.11.2017</t>
  </si>
  <si>
    <t>5222 от 30.11.2017</t>
  </si>
  <si>
    <t>5219 от 30.11.2017</t>
  </si>
  <si>
    <t>5220 от 30.11.2017</t>
  </si>
  <si>
    <t>5241 от 30.11.2017</t>
  </si>
  <si>
    <t>5242 от 30.11.2017</t>
  </si>
  <si>
    <t>5243 от 30.11.2017</t>
  </si>
  <si>
    <t>5244 от 30.11.2017</t>
  </si>
  <si>
    <t>5245 от 30.11.2017</t>
  </si>
  <si>
    <t>5246 от 30.11.2017</t>
  </si>
  <si>
    <t>5247 от 30.11.2017</t>
  </si>
  <si>
    <t>Давальческие материалы (декабрь)</t>
  </si>
  <si>
    <t>5605 от 29.12.2017</t>
  </si>
  <si>
    <t>365/16 08.08.2016</t>
  </si>
  <si>
    <t>5643 от 01.12.2017</t>
  </si>
  <si>
    <t>№862/17 от 21.12.2018</t>
  </si>
  <si>
    <t>5512 от 01.12.2017</t>
  </si>
  <si>
    <t>5412 от 05.12.2017</t>
  </si>
  <si>
    <t>5513 от 20.12.2017</t>
  </si>
  <si>
    <t>№845/17 от 15.12.2017</t>
  </si>
  <si>
    <t>ООО "КАМАЗТЕХОБСЛУЖИВАНИЕ"</t>
  </si>
  <si>
    <t xml:space="preserve">5463 от 22.12.2017 </t>
  </si>
  <si>
    <t>265 от 22.12.2017</t>
  </si>
  <si>
    <t xml:space="preserve">5715 от 25.12.2017 </t>
  </si>
  <si>
    <t>5717 от 25.12.2017</t>
  </si>
  <si>
    <t>5722 от 25.12.2017</t>
  </si>
  <si>
    <t xml:space="preserve">5711 от 25.12.2017 </t>
  </si>
  <si>
    <t xml:space="preserve">5716 от 25.12.2017 </t>
  </si>
  <si>
    <t>5713 от 25.12.2017</t>
  </si>
  <si>
    <t>5714 от 25.12.2017</t>
  </si>
  <si>
    <t>№777/17 от 28.11.2017</t>
  </si>
  <si>
    <t>5718 от 25.12.2017</t>
  </si>
  <si>
    <t>5719 от 25.12.2017</t>
  </si>
  <si>
    <t>5723 от 25.12.2017</t>
  </si>
  <si>
    <t>5724 от 25.12.2017</t>
  </si>
  <si>
    <t>МКП г.о г. Воронеж "Управление главного архитектора"</t>
  </si>
  <si>
    <t>5690 от 26.12.2017</t>
  </si>
  <si>
    <t xml:space="preserve">5551 от 28.12.2017 </t>
  </si>
  <si>
    <t>5697 от 29.12.2017</t>
  </si>
  <si>
    <t>5720 от 29.12.2017</t>
  </si>
  <si>
    <t>ООО "Газпром межрегионгаз Воронеж"</t>
  </si>
  <si>
    <t>ООО "МАГИСТРАЛЬ ТЕЛЕКОМ"</t>
  </si>
  <si>
    <t>№840/17 от 15.12.2017</t>
  </si>
  <si>
    <t>5725 от 29.12.2017</t>
  </si>
  <si>
    <t>5727 от 29.12.2017</t>
  </si>
  <si>
    <t>5670 от 29.12.2017</t>
  </si>
  <si>
    <t>5721 от 29.12.2017</t>
  </si>
  <si>
    <t>702/17 от 31.10.2017</t>
  </si>
  <si>
    <t>ООО "СК Инженерные сети"</t>
  </si>
  <si>
    <t>№738/17 от 17.11.2017</t>
  </si>
  <si>
    <t xml:space="preserve">5726 от 29.12.2017 </t>
  </si>
  <si>
    <t>5735 от 29.12.2017</t>
  </si>
  <si>
    <t xml:space="preserve">5685 от 31.12.2017 </t>
  </si>
  <si>
    <t>5604 от 31.12.2017</t>
  </si>
  <si>
    <t>5709 от 31.12.2017</t>
  </si>
  <si>
    <t>5710 от 31.12.2017</t>
  </si>
  <si>
    <t>Давальческий материал (декабрь)</t>
  </si>
  <si>
    <t>давальческий материал (декабрь)</t>
  </si>
  <si>
    <t xml:space="preserve">5547 от 27.12.2017 </t>
  </si>
  <si>
    <t xml:space="preserve">4491 от 19.10.2017 </t>
  </si>
  <si>
    <t>№ 47/17 от 02.02.2017</t>
  </si>
  <si>
    <t>5489 от 26.12.2017</t>
  </si>
  <si>
    <t>№ 48/17 от 02.02.2018</t>
  </si>
  <si>
    <t>5491 от 26.12.2017</t>
  </si>
  <si>
    <t xml:space="preserve">270 от 26.12.2017 </t>
  </si>
  <si>
    <t>271 от 26.12.2017</t>
  </si>
  <si>
    <t>№ 56/17 от 07.02.2017</t>
  </si>
  <si>
    <t xml:space="preserve">5490 от 27.12.2017 </t>
  </si>
  <si>
    <t xml:space="preserve">264 от 27.12.2017 </t>
  </si>
  <si>
    <t>№855/17 от 20.12.2017</t>
  </si>
  <si>
    <t>ООО "Промкабель"</t>
  </si>
  <si>
    <t>Акт №406 от 31.12.2017</t>
  </si>
  <si>
    <t>№879/17 от 26.12.2017</t>
  </si>
  <si>
    <t>АО "Электроагрегат"</t>
  </si>
  <si>
    <t>267 от 27.12.2017</t>
  </si>
  <si>
    <t>№880/17 от 26.12.2017</t>
  </si>
  <si>
    <t>5464 от 27.12.2017</t>
  </si>
  <si>
    <t>268 от 27.12.2017</t>
  </si>
  <si>
    <t>5476 от 28.12.2017</t>
  </si>
  <si>
    <t>5477 от 28.12.2017</t>
  </si>
  <si>
    <t>5465 от 27.12.2017</t>
  </si>
  <si>
    <t>266 от 28.12.2017</t>
  </si>
  <si>
    <t>№894/17 от 28.12.2017</t>
  </si>
  <si>
    <t>ООО ТД "Глобус"</t>
  </si>
  <si>
    <t>5498 от 28.12.2017</t>
  </si>
  <si>
    <t>263 от 28.12.2017</t>
  </si>
  <si>
    <t>269 от 28.12.2017</t>
  </si>
  <si>
    <t>Давальческие материалы  (март)</t>
  </si>
  <si>
    <t>Командировочные расходы</t>
  </si>
  <si>
    <t>Реконструкция канализационного дюкера по ул.Серова</t>
  </si>
  <si>
    <t>1800 от 11.05.2017</t>
  </si>
  <si>
    <t>4568 от 31.05.2017</t>
  </si>
  <si>
    <t>№ 187/17 от 31.03.2017</t>
  </si>
  <si>
    <t>ООО "Промстиль"</t>
  </si>
  <si>
    <t>Погашение кредитов</t>
  </si>
  <si>
    <t>Субсидии на возмещение затрат на уплату процентов по кредитам</t>
  </si>
  <si>
    <t xml:space="preserve">Налог на прибыль </t>
  </si>
  <si>
    <t>ФГБУ "Центр лабораторного анализа и технических измерений по Центральному федеральному округу"</t>
  </si>
  <si>
    <t>№843/17 от 15.12.2017</t>
  </si>
  <si>
    <t>Акт №ВО001956 от 28.12.2017</t>
  </si>
  <si>
    <t>14567 от 18.12.2017 (часть)</t>
  </si>
  <si>
    <t>678 от 27.02.2017 (часть)</t>
  </si>
  <si>
    <t>8487 от 27.07.2017</t>
  </si>
  <si>
    <t>148 от 17.01.2017</t>
  </si>
  <si>
    <t>1868 от 30.03.2017</t>
  </si>
  <si>
    <t>4504 от 29.05.2017</t>
  </si>
  <si>
    <t>3 от 09.01.2017</t>
  </si>
  <si>
    <t>5537 от 30.06.2017</t>
  </si>
  <si>
    <t>9008 от 21.08.2017</t>
  </si>
  <si>
    <t>15880 от 25.12.2017 (часть)</t>
  </si>
  <si>
    <t>5450 от 28.06.2017</t>
  </si>
  <si>
    <t xml:space="preserve">9787 от 08.09.2017 </t>
  </si>
  <si>
    <t>875 от 02.03.2017</t>
  </si>
  <si>
    <t>729690 от 22.03.2017</t>
  </si>
  <si>
    <t>729691 от 22.03.2017</t>
  </si>
  <si>
    <t>2322 от 21.04.2017</t>
  </si>
  <si>
    <t>2323 от 21.04.2017</t>
  </si>
  <si>
    <t>4485 от 29.05.2017</t>
  </si>
  <si>
    <t>4486 от 29.05.2017</t>
  </si>
  <si>
    <t xml:space="preserve">5387 от 23.06.2017 </t>
  </si>
  <si>
    <t xml:space="preserve">5389 от 23.06.2017 </t>
  </si>
  <si>
    <t>5390 от 23.06.2017</t>
  </si>
  <si>
    <t>8484 от 27.07.2017</t>
  </si>
  <si>
    <t>9166 от 24.08.2017</t>
  </si>
  <si>
    <t>9168 от 24.08.2018</t>
  </si>
  <si>
    <t xml:space="preserve">659 от 20.02.2017 </t>
  </si>
  <si>
    <t xml:space="preserve">661 от 20.02.2017 </t>
  </si>
  <si>
    <t xml:space="preserve">682 от 20.02.2017 </t>
  </si>
  <si>
    <t xml:space="preserve">658 от 20.02.2017 </t>
  </si>
  <si>
    <t>729689 от 22.03.2017</t>
  </si>
  <si>
    <t>4487 от 29.05.2017</t>
  </si>
  <si>
    <t>8480 от 27.07.2017</t>
  </si>
  <si>
    <t>646189 от 27.01.2017</t>
  </si>
  <si>
    <t>729683 от 22.03.2017</t>
  </si>
  <si>
    <t>729684 от 22.03.2017</t>
  </si>
  <si>
    <t>729685 от 22.03.2017</t>
  </si>
  <si>
    <t>729686 от 22.03.2017</t>
  </si>
  <si>
    <t>729687 от 22.03.2017</t>
  </si>
  <si>
    <t>729688 от 22.03.2017</t>
  </si>
  <si>
    <t>4505 от 29.05.2017</t>
  </si>
  <si>
    <t>4506 от 29.05.2017</t>
  </si>
  <si>
    <t>4507 от 29.05.2017</t>
  </si>
  <si>
    <t>4508 от 29.05.2017</t>
  </si>
  <si>
    <t>4509 от 29.05.2017</t>
  </si>
  <si>
    <t>4510 от 29.05.2017</t>
  </si>
  <si>
    <t>8485 от 27.07.2017</t>
  </si>
  <si>
    <t>1800 от 24.03.2017</t>
  </si>
  <si>
    <t>4511 от 29.05.2017</t>
  </si>
  <si>
    <t>1917 от 03.04.2017</t>
  </si>
  <si>
    <t>185 от 18.01.2017</t>
  </si>
  <si>
    <t>9169 от 24.08.2017</t>
  </si>
  <si>
    <t>9173 от 24.08.2017</t>
  </si>
  <si>
    <t>153 от 17.01.2017</t>
  </si>
  <si>
    <t>2030 от 10.04.2017</t>
  </si>
  <si>
    <t>2029 от 10.04.2017</t>
  </si>
  <si>
    <t>2031 от 10.04.2017</t>
  </si>
  <si>
    <t>1801 от 24.03.2017</t>
  </si>
  <si>
    <t>9170 от 24.08.2017</t>
  </si>
  <si>
    <t>9171 от 24.08.2017</t>
  </si>
  <si>
    <t xml:space="preserve">9789 от 08.09.2017 </t>
  </si>
  <si>
    <t>10827 от 29.09.2017</t>
  </si>
  <si>
    <t xml:space="preserve">9172 от 24.08.2017 </t>
  </si>
  <si>
    <t>707886 от 02.03.2017</t>
  </si>
  <si>
    <t>729594 от 17.03.2017</t>
  </si>
  <si>
    <t>729695 от 22.03.2017</t>
  </si>
  <si>
    <t>4498 от 29.05.2017</t>
  </si>
  <si>
    <t>4500 от 29.05.2017</t>
  </si>
  <si>
    <t>8482 от 27.07.2017</t>
  </si>
  <si>
    <t>8483 от 27.07.2017</t>
  </si>
  <si>
    <t>9165 от 24.08.2017</t>
  </si>
  <si>
    <t>9788 от 08.09.2017</t>
  </si>
  <si>
    <t>9790 от 08.09.2017</t>
  </si>
  <si>
    <t>10995 от 10.10.2017</t>
  </si>
  <si>
    <t>14477 от 14.12.2017</t>
  </si>
  <si>
    <t>729692 от 22.03.2017</t>
  </si>
  <si>
    <t>9180 от 24.08.2017</t>
  </si>
  <si>
    <t>729693 от 22.03.2017</t>
  </si>
  <si>
    <t>9179 от 24.08.2017</t>
  </si>
  <si>
    <t>729694 от 22.03.2017</t>
  </si>
  <si>
    <t>4499 от 29.05.2017</t>
  </si>
  <si>
    <t>4501 от 29.05.2017</t>
  </si>
  <si>
    <t xml:space="preserve">8489 от 27.07.2017 </t>
  </si>
  <si>
    <t>9178 от 24.08.2017</t>
  </si>
  <si>
    <t>281 от 24.01.2017</t>
  </si>
  <si>
    <t>плтежка</t>
  </si>
  <si>
    <t>348 от 07.02.2017</t>
  </si>
  <si>
    <t xml:space="preserve">349 от 07.02.2017 </t>
  </si>
  <si>
    <t xml:space="preserve">381 от 09.02.2017 </t>
  </si>
  <si>
    <t xml:space="preserve">485 от 10.02.2017 </t>
  </si>
  <si>
    <t xml:space="preserve">501 от 13.02.2017 </t>
  </si>
  <si>
    <t xml:space="preserve">657 от 20.02.2017 </t>
  </si>
  <si>
    <t xml:space="preserve">660 от 20.02.2017 </t>
  </si>
  <si>
    <t xml:space="preserve">665 от 20.02.2017 </t>
  </si>
  <si>
    <t xml:space="preserve">664 от 20.02.2017 </t>
  </si>
  <si>
    <t>КС-2, КС-3 №1 от 03.04.2017</t>
  </si>
  <si>
    <t>КС-2, КС-3 №4 от 26.04.2017</t>
  </si>
  <si>
    <t xml:space="preserve">КС-2, КС-3 №3 от 18.04.2017 </t>
  </si>
  <si>
    <t>Дополнительное соглашение к договору 671/16 от 21.12 .2016 к договору  № 187/16 от 06.05.2016</t>
  </si>
  <si>
    <t>№862/17 от 21.12.2017</t>
  </si>
  <si>
    <t>№ 48/17 от 02.02.2017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</si>
</sst>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0"/>
    <numFmt numFmtId="165" formatCode="0.000"/>
    <numFmt numFmtId="166" formatCode="_-* #,##0\ _₽_-;\-* #,##0\ _₽_-;_-* &quot;-&quot;??\ _₽_-;_-@_-"/>
    <numFmt numFmtId="167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name val="Arial"/>
      <family val="2"/>
      <charset val="204"/>
    </font>
    <font>
      <sz val="11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9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9" fillId="0" borderId="0"/>
    <xf numFmtId="0" fontId="10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3" fillId="0" borderId="0"/>
    <xf numFmtId="43" fontId="5" fillId="0" borderId="0" applyFont="0" applyFill="0" applyBorder="0" applyAlignment="0" applyProtection="0"/>
  </cellStyleXfs>
  <cellXfs count="546">
    <xf numFmtId="0" fontId="0" fillId="0" borderId="0" xfId="0"/>
    <xf numFmtId="0" fontId="6" fillId="0" borderId="0" xfId="1" applyFont="1" applyFill="1"/>
    <xf numFmtId="0" fontId="7" fillId="0" borderId="0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0" fontId="4" fillId="0" borderId="0" xfId="1"/>
    <xf numFmtId="0" fontId="6" fillId="0" borderId="0" xfId="1" applyFont="1"/>
    <xf numFmtId="164" fontId="8" fillId="0" borderId="0" xfId="2" applyNumberFormat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/>
    <xf numFmtId="164" fontId="6" fillId="0" borderId="0" xfId="1" applyNumberFormat="1" applyFont="1"/>
    <xf numFmtId="0" fontId="8" fillId="0" borderId="0" xfId="2" applyFont="1" applyFill="1" applyBorder="1" applyAlignment="1">
      <alignment horizontal="center" vertical="center" wrapText="1"/>
    </xf>
    <xf numFmtId="4" fontId="6" fillId="0" borderId="0" xfId="1" applyNumberFormat="1" applyFont="1" applyFill="1"/>
    <xf numFmtId="164" fontId="17" fillId="0" borderId="13" xfId="1" applyNumberFormat="1" applyFont="1" applyFill="1" applyBorder="1" applyAlignment="1">
      <alignment horizontal="center" vertical="center" wrapText="1"/>
    </xf>
    <xf numFmtId="4" fontId="17" fillId="0" borderId="13" xfId="1" applyNumberFormat="1" applyFont="1" applyFill="1" applyBorder="1" applyAlignment="1">
      <alignment horizontal="center" vertical="center" wrapText="1"/>
    </xf>
    <xf numFmtId="4" fontId="17" fillId="0" borderId="14" xfId="1" applyNumberFormat="1" applyFont="1" applyFill="1" applyBorder="1" applyAlignment="1">
      <alignment horizontal="center" vertical="center" wrapText="1"/>
    </xf>
    <xf numFmtId="164" fontId="17" fillId="0" borderId="7" xfId="1" applyNumberFormat="1" applyFont="1" applyFill="1" applyBorder="1" applyAlignment="1">
      <alignment horizontal="center" vertical="center" wrapText="1"/>
    </xf>
    <xf numFmtId="4" fontId="17" fillId="0" borderId="7" xfId="1" applyNumberFormat="1" applyFont="1" applyFill="1" applyBorder="1" applyAlignment="1">
      <alignment horizontal="center" vertical="center" wrapText="1"/>
    </xf>
    <xf numFmtId="4" fontId="17" fillId="0" borderId="10" xfId="1" applyNumberFormat="1" applyFont="1" applyFill="1" applyBorder="1" applyAlignment="1">
      <alignment horizontal="center" vertical="center" wrapText="1"/>
    </xf>
    <xf numFmtId="0" fontId="17" fillId="0" borderId="23" xfId="1" applyFont="1" applyBorder="1" applyAlignment="1">
      <alignment vertical="center" wrapText="1"/>
    </xf>
    <xf numFmtId="0" fontId="17" fillId="0" borderId="24" xfId="1" applyFont="1" applyFill="1" applyBorder="1" applyAlignment="1">
      <alignment horizontal="center" vertical="center" wrapText="1"/>
    </xf>
    <xf numFmtId="4" fontId="17" fillId="0" borderId="24" xfId="1" applyNumberFormat="1" applyFont="1" applyFill="1" applyBorder="1" applyAlignment="1">
      <alignment horizontal="center" vertical="center" wrapText="1"/>
    </xf>
    <xf numFmtId="164" fontId="17" fillId="0" borderId="24" xfId="1" applyNumberFormat="1" applyFont="1" applyFill="1" applyBorder="1" applyAlignment="1">
      <alignment horizontal="center" vertical="center" wrapText="1"/>
    </xf>
    <xf numFmtId="4" fontId="17" fillId="0" borderId="25" xfId="1" applyNumberFormat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4" fontId="17" fillId="0" borderId="16" xfId="1" applyNumberFormat="1" applyFont="1" applyFill="1" applyBorder="1" applyAlignment="1">
      <alignment horizontal="center" vertical="center" wrapText="1"/>
    </xf>
    <xf numFmtId="4" fontId="17" fillId="0" borderId="17" xfId="1" applyNumberFormat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23" xfId="3" applyNumberFormat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4" fontId="18" fillId="0" borderId="8" xfId="1" applyNumberFormat="1" applyFont="1" applyFill="1" applyBorder="1" applyAlignment="1">
      <alignment horizontal="center" vertical="center" wrapText="1"/>
    </xf>
    <xf numFmtId="4" fontId="17" fillId="0" borderId="8" xfId="1" applyNumberFormat="1" applyFont="1" applyFill="1" applyBorder="1" applyAlignment="1">
      <alignment horizontal="center" vertical="center" wrapText="1"/>
    </xf>
    <xf numFmtId="4" fontId="18" fillId="0" borderId="15" xfId="1" applyNumberFormat="1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18" fillId="0" borderId="24" xfId="1" applyFont="1" applyFill="1" applyBorder="1" applyAlignment="1">
      <alignment horizontal="center" vertical="center" wrapText="1"/>
    </xf>
    <xf numFmtId="4" fontId="18" fillId="0" borderId="24" xfId="1" applyNumberFormat="1" applyFont="1" applyFill="1" applyBorder="1" applyAlignment="1">
      <alignment horizontal="center" vertical="center" wrapText="1"/>
    </xf>
    <xf numFmtId="4" fontId="18" fillId="0" borderId="25" xfId="1" applyNumberFormat="1" applyFont="1" applyFill="1" applyBorder="1" applyAlignment="1">
      <alignment horizontal="center" vertical="center" wrapText="1"/>
    </xf>
    <xf numFmtId="164" fontId="17" fillId="0" borderId="17" xfId="1" applyNumberFormat="1" applyFont="1" applyFill="1" applyBorder="1" applyAlignment="1">
      <alignment horizontal="center" vertical="center" wrapText="1"/>
    </xf>
    <xf numFmtId="164" fontId="17" fillId="0" borderId="19" xfId="1" applyNumberFormat="1" applyFont="1" applyFill="1" applyBorder="1" applyAlignment="1">
      <alignment horizontal="center" vertical="center" wrapText="1"/>
    </xf>
    <xf numFmtId="4" fontId="17" fillId="0" borderId="19" xfId="1" applyNumberFormat="1" applyFont="1" applyFill="1" applyBorder="1" applyAlignment="1">
      <alignment horizontal="center" vertical="center" wrapText="1"/>
    </xf>
    <xf numFmtId="4" fontId="17" fillId="0" borderId="38" xfId="1" applyNumberFormat="1" applyFont="1" applyFill="1" applyBorder="1" applyAlignment="1">
      <alignment horizontal="center" vertical="center" wrapText="1"/>
    </xf>
    <xf numFmtId="0" fontId="17" fillId="0" borderId="13" xfId="3" applyNumberFormat="1" applyFont="1" applyFill="1" applyBorder="1" applyAlignment="1">
      <alignment vertical="center" wrapText="1"/>
    </xf>
    <xf numFmtId="0" fontId="17" fillId="0" borderId="13" xfId="1" applyFont="1" applyFill="1" applyBorder="1" applyAlignment="1">
      <alignment horizontal="center" vertical="center" wrapText="1"/>
    </xf>
    <xf numFmtId="2" fontId="17" fillId="0" borderId="13" xfId="1" applyNumberFormat="1" applyFont="1" applyFill="1" applyBorder="1" applyAlignment="1">
      <alignment horizontal="center" vertical="center" wrapText="1"/>
    </xf>
    <xf numFmtId="0" fontId="17" fillId="0" borderId="16" xfId="3" applyNumberFormat="1" applyFont="1" applyFill="1" applyBorder="1" applyAlignment="1">
      <alignment vertical="center" wrapText="1"/>
    </xf>
    <xf numFmtId="2" fontId="17" fillId="0" borderId="16" xfId="1" applyNumberFormat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 vertical="center" wrapText="1"/>
    </xf>
    <xf numFmtId="164" fontId="17" fillId="0" borderId="14" xfId="1" applyNumberFormat="1" applyFont="1" applyFill="1" applyBorder="1" applyAlignment="1">
      <alignment horizontal="center" vertical="center" wrapText="1"/>
    </xf>
    <xf numFmtId="164" fontId="17" fillId="0" borderId="38" xfId="1" applyNumberFormat="1" applyFont="1" applyFill="1" applyBorder="1" applyAlignment="1">
      <alignment horizontal="center" vertical="center" wrapText="1"/>
    </xf>
    <xf numFmtId="165" fontId="17" fillId="0" borderId="16" xfId="1" applyNumberFormat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164" fontId="17" fillId="0" borderId="22" xfId="1" applyNumberFormat="1" applyFont="1" applyFill="1" applyBorder="1" applyAlignment="1">
      <alignment horizontal="center" vertical="center" wrapText="1"/>
    </xf>
    <xf numFmtId="4" fontId="17" fillId="0" borderId="21" xfId="1" applyNumberFormat="1" applyFont="1" applyFill="1" applyBorder="1" applyAlignment="1">
      <alignment horizontal="center" vertical="center" wrapText="1"/>
    </xf>
    <xf numFmtId="4" fontId="17" fillId="0" borderId="26" xfId="1" applyNumberFormat="1" applyFont="1" applyFill="1" applyBorder="1" applyAlignment="1">
      <alignment horizontal="center" vertical="center" wrapText="1"/>
    </xf>
    <xf numFmtId="4" fontId="17" fillId="0" borderId="27" xfId="1" applyNumberFormat="1" applyFont="1" applyFill="1" applyBorder="1" applyAlignment="1">
      <alignment horizontal="center" vertical="center" wrapText="1"/>
    </xf>
    <xf numFmtId="164" fontId="17" fillId="0" borderId="20" xfId="1" applyNumberFormat="1" applyFont="1" applyFill="1" applyBorder="1" applyAlignment="1">
      <alignment horizontal="center" vertical="center" wrapText="1"/>
    </xf>
    <xf numFmtId="164" fontId="17" fillId="0" borderId="27" xfId="1" applyNumberFormat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164" fontId="17" fillId="0" borderId="34" xfId="1" applyNumberFormat="1" applyFont="1" applyFill="1" applyBorder="1" applyAlignment="1">
      <alignment horizontal="center" vertical="center" wrapText="1"/>
    </xf>
    <xf numFmtId="4" fontId="17" fillId="0" borderId="35" xfId="1" applyNumberFormat="1" applyFont="1" applyFill="1" applyBorder="1" applyAlignment="1">
      <alignment horizontal="center" vertical="center" wrapText="1"/>
    </xf>
    <xf numFmtId="164" fontId="17" fillId="0" borderId="21" xfId="1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64" fontId="18" fillId="0" borderId="0" xfId="1" applyNumberFormat="1" applyFont="1" applyFill="1" applyBorder="1" applyAlignment="1">
      <alignment horizontal="center" vertical="center" wrapText="1"/>
    </xf>
    <xf numFmtId="164" fontId="17" fillId="0" borderId="0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1" applyFont="1"/>
    <xf numFmtId="0" fontId="17" fillId="0" borderId="0" xfId="1" applyFont="1" applyFill="1" applyAlignment="1">
      <alignment horizontal="left"/>
    </xf>
    <xf numFmtId="0" fontId="17" fillId="0" borderId="0" xfId="1" applyFont="1" applyFill="1" applyBorder="1"/>
    <xf numFmtId="0" fontId="17" fillId="0" borderId="0" xfId="1" applyFont="1" applyFill="1"/>
    <xf numFmtId="0" fontId="17" fillId="0" borderId="0" xfId="3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4" fontId="17" fillId="0" borderId="0" xfId="1" applyNumberFormat="1" applyFont="1" applyFill="1" applyBorder="1" applyAlignment="1">
      <alignment horizontal="center" vertical="center" wrapText="1"/>
    </xf>
    <xf numFmtId="164" fontId="16" fillId="0" borderId="0" xfId="1" applyNumberFormat="1" applyFont="1" applyFill="1"/>
    <xf numFmtId="4" fontId="22" fillId="0" borderId="38" xfId="1" applyNumberFormat="1" applyFont="1" applyFill="1" applyBorder="1" applyAlignment="1">
      <alignment horizontal="center" vertical="center" wrapText="1"/>
    </xf>
    <xf numFmtId="164" fontId="17" fillId="0" borderId="10" xfId="1" applyNumberFormat="1" applyFont="1" applyFill="1" applyBorder="1" applyAlignment="1">
      <alignment horizontal="center"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164" fontId="17" fillId="0" borderId="7" xfId="1" applyNumberFormat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4" fontId="17" fillId="0" borderId="13" xfId="1" applyNumberFormat="1" applyFont="1" applyFill="1" applyBorder="1" applyAlignment="1">
      <alignment horizontal="center" vertical="center" wrapText="1"/>
    </xf>
    <xf numFmtId="4" fontId="17" fillId="0" borderId="16" xfId="1" applyNumberFormat="1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4" fontId="17" fillId="0" borderId="22" xfId="1" applyNumberFormat="1" applyFont="1" applyFill="1" applyBorder="1" applyAlignment="1">
      <alignment horizontal="center" vertical="center" wrapText="1"/>
    </xf>
    <xf numFmtId="4" fontId="17" fillId="0" borderId="19" xfId="1" applyNumberFormat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 vertical="center" wrapText="1"/>
    </xf>
    <xf numFmtId="164" fontId="17" fillId="0" borderId="19" xfId="1" applyNumberFormat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4" fontId="17" fillId="0" borderId="20" xfId="1" applyNumberFormat="1" applyFont="1" applyFill="1" applyBorder="1" applyAlignment="1">
      <alignment horizontal="center" vertical="center" wrapText="1"/>
    </xf>
    <xf numFmtId="4" fontId="17" fillId="0" borderId="7" xfId="1" applyNumberFormat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4" fontId="17" fillId="2" borderId="19" xfId="1" applyNumberFormat="1" applyFont="1" applyFill="1" applyBorder="1" applyAlignment="1">
      <alignment horizontal="center" vertical="center" wrapText="1"/>
    </xf>
    <xf numFmtId="0" fontId="17" fillId="0" borderId="18" xfId="3" applyNumberFormat="1" applyFont="1" applyFill="1" applyBorder="1" applyAlignment="1">
      <alignment horizontal="center" vertical="center" wrapText="1"/>
    </xf>
    <xf numFmtId="0" fontId="17" fillId="3" borderId="20" xfId="1" applyFont="1" applyFill="1" applyBorder="1" applyAlignment="1">
      <alignment horizontal="center" vertical="center" wrapText="1"/>
    </xf>
    <xf numFmtId="4" fontId="17" fillId="3" borderId="20" xfId="1" applyNumberFormat="1" applyFont="1" applyFill="1" applyBorder="1" applyAlignment="1">
      <alignment horizontal="center" vertical="center" wrapText="1"/>
    </xf>
    <xf numFmtId="164" fontId="17" fillId="3" borderId="20" xfId="1" applyNumberFormat="1" applyFont="1" applyFill="1" applyBorder="1" applyAlignment="1">
      <alignment horizontal="center" vertical="center" wrapText="1"/>
    </xf>
    <xf numFmtId="4" fontId="17" fillId="3" borderId="37" xfId="1" applyNumberFormat="1" applyFont="1" applyFill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 wrapText="1"/>
    </xf>
    <xf numFmtId="4" fontId="17" fillId="3" borderId="16" xfId="1" applyNumberFormat="1" applyFont="1" applyFill="1" applyBorder="1" applyAlignment="1">
      <alignment horizontal="center" vertical="center" wrapText="1"/>
    </xf>
    <xf numFmtId="164" fontId="17" fillId="3" borderId="16" xfId="1" applyNumberFormat="1" applyFont="1" applyFill="1" applyBorder="1" applyAlignment="1">
      <alignment horizontal="center" vertical="center" wrapText="1"/>
    </xf>
    <xf numFmtId="4" fontId="17" fillId="0" borderId="42" xfId="1" applyNumberFormat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center" vertical="center" wrapText="1"/>
    </xf>
    <xf numFmtId="4" fontId="17" fillId="3" borderId="19" xfId="1" applyNumberFormat="1" applyFont="1" applyFill="1" applyBorder="1" applyAlignment="1">
      <alignment horizontal="center" vertical="center" wrapText="1"/>
    </xf>
    <xf numFmtId="164" fontId="17" fillId="3" borderId="19" xfId="1" applyNumberFormat="1" applyFont="1" applyFill="1" applyBorder="1" applyAlignment="1">
      <alignment horizontal="center" vertical="center" wrapText="1"/>
    </xf>
    <xf numFmtId="2" fontId="17" fillId="4" borderId="19" xfId="1" applyNumberFormat="1" applyFont="1" applyFill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4" borderId="16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4" fontId="17" fillId="4" borderId="7" xfId="1" applyNumberFormat="1" applyFont="1" applyFill="1" applyBorder="1" applyAlignment="1">
      <alignment horizontal="center" vertical="center" wrapText="1"/>
    </xf>
    <xf numFmtId="0" fontId="17" fillId="0" borderId="18" xfId="3" applyNumberFormat="1" applyFont="1" applyFill="1" applyBorder="1" applyAlignment="1">
      <alignment horizontal="center" vertical="center" wrapText="1"/>
    </xf>
    <xf numFmtId="4" fontId="17" fillId="0" borderId="17" xfId="1" applyNumberFormat="1" applyFont="1" applyFill="1" applyBorder="1" applyAlignment="1">
      <alignment horizontal="center"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4" fontId="17" fillId="0" borderId="16" xfId="1" applyNumberFormat="1" applyFont="1" applyFill="1" applyBorder="1" applyAlignment="1">
      <alignment horizontal="center" vertical="center" wrapText="1"/>
    </xf>
    <xf numFmtId="164" fontId="17" fillId="0" borderId="22" xfId="1" applyNumberFormat="1" applyFont="1" applyFill="1" applyBorder="1" applyAlignment="1">
      <alignment horizontal="center" vertical="center" wrapText="1"/>
    </xf>
    <xf numFmtId="4" fontId="17" fillId="0" borderId="22" xfId="1" applyNumberFormat="1" applyFont="1" applyFill="1" applyBorder="1" applyAlignment="1">
      <alignment horizontal="center" vertical="center" wrapText="1"/>
    </xf>
    <xf numFmtId="4" fontId="17" fillId="0" borderId="19" xfId="1" applyNumberFormat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4" fontId="17" fillId="3" borderId="24" xfId="1" applyNumberFormat="1" applyFont="1" applyFill="1" applyBorder="1" applyAlignment="1">
      <alignment horizontal="center" vertical="center" wrapText="1"/>
    </xf>
    <xf numFmtId="164" fontId="17" fillId="3" borderId="24" xfId="1" applyNumberFormat="1" applyFont="1" applyFill="1" applyBorder="1" applyAlignment="1">
      <alignment horizontal="center" vertical="center" wrapText="1"/>
    </xf>
    <xf numFmtId="164" fontId="17" fillId="0" borderId="8" xfId="1" applyNumberFormat="1" applyFont="1" applyFill="1" applyBorder="1" applyAlignment="1">
      <alignment horizontal="center" vertical="center" wrapText="1"/>
    </xf>
    <xf numFmtId="4" fontId="17" fillId="0" borderId="15" xfId="1" applyNumberFormat="1" applyFont="1" applyFill="1" applyBorder="1" applyAlignment="1">
      <alignment horizontal="center" vertical="center" wrapText="1"/>
    </xf>
    <xf numFmtId="0" fontId="17" fillId="5" borderId="19" xfId="1" applyFont="1" applyFill="1" applyBorder="1" applyAlignment="1">
      <alignment horizontal="center" vertical="center" wrapText="1"/>
    </xf>
    <xf numFmtId="4" fontId="17" fillId="5" borderId="19" xfId="1" applyNumberFormat="1" applyFont="1" applyFill="1" applyBorder="1" applyAlignment="1">
      <alignment horizontal="center" vertical="center" wrapText="1"/>
    </xf>
    <xf numFmtId="4" fontId="17" fillId="5" borderId="16" xfId="1" applyNumberFormat="1" applyFont="1" applyFill="1" applyBorder="1" applyAlignment="1">
      <alignment horizontal="center" vertical="center" wrapText="1"/>
    </xf>
    <xf numFmtId="164" fontId="17" fillId="5" borderId="19" xfId="1" applyNumberFormat="1" applyFont="1" applyFill="1" applyBorder="1" applyAlignment="1">
      <alignment horizontal="center" vertical="center" wrapText="1"/>
    </xf>
    <xf numFmtId="0" fontId="17" fillId="0" borderId="19" xfId="3" applyNumberFormat="1" applyFont="1" applyFill="1" applyBorder="1" applyAlignment="1">
      <alignment vertical="center" wrapText="1"/>
    </xf>
    <xf numFmtId="2" fontId="17" fillId="0" borderId="19" xfId="1" applyNumberFormat="1" applyFont="1" applyFill="1" applyBorder="1" applyAlignment="1">
      <alignment horizontal="center" vertical="center" wrapText="1"/>
    </xf>
    <xf numFmtId="164" fontId="17" fillId="5" borderId="16" xfId="1" applyNumberFormat="1" applyFont="1" applyFill="1" applyBorder="1" applyAlignment="1">
      <alignment horizontal="center" vertical="center" wrapText="1"/>
    </xf>
    <xf numFmtId="164" fontId="17" fillId="5" borderId="22" xfId="1" applyNumberFormat="1" applyFont="1" applyFill="1" applyBorder="1" applyAlignment="1">
      <alignment horizontal="center" vertical="center" wrapText="1"/>
    </xf>
    <xf numFmtId="4" fontId="17" fillId="5" borderId="22" xfId="1" applyNumberFormat="1" applyFont="1" applyFill="1" applyBorder="1" applyAlignment="1">
      <alignment horizontal="center" vertical="center" wrapText="1"/>
    </xf>
    <xf numFmtId="0" fontId="17" fillId="5" borderId="16" xfId="1" applyFont="1" applyFill="1" applyBorder="1" applyAlignment="1">
      <alignment horizontal="center" vertical="center" wrapText="1"/>
    </xf>
    <xf numFmtId="164" fontId="17" fillId="5" borderId="17" xfId="1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vertical="center" wrapText="1"/>
    </xf>
    <xf numFmtId="0" fontId="19" fillId="5" borderId="0" xfId="0" applyFont="1" applyFill="1" applyAlignment="1">
      <alignment vertical="center" wrapText="1"/>
    </xf>
    <xf numFmtId="0" fontId="18" fillId="5" borderId="29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vertical="center" wrapText="1"/>
    </xf>
    <xf numFmtId="4" fontId="17" fillId="5" borderId="28" xfId="0" applyNumberFormat="1" applyFont="1" applyFill="1" applyBorder="1" applyAlignment="1">
      <alignment horizontal="right" vertical="center" wrapText="1"/>
    </xf>
    <xf numFmtId="0" fontId="5" fillId="5" borderId="0" xfId="0" applyFont="1" applyFill="1"/>
    <xf numFmtId="0" fontId="21" fillId="5" borderId="30" xfId="0" applyFont="1" applyFill="1" applyBorder="1" applyAlignment="1">
      <alignment vertical="center" wrapText="1"/>
    </xf>
    <xf numFmtId="0" fontId="21" fillId="5" borderId="28" xfId="0" applyFont="1" applyFill="1" applyBorder="1" applyAlignment="1">
      <alignment horizontal="right" vertical="center" wrapText="1"/>
    </xf>
    <xf numFmtId="4" fontId="21" fillId="5" borderId="28" xfId="0" applyNumberFormat="1" applyFont="1" applyFill="1" applyBorder="1" applyAlignment="1">
      <alignment horizontal="right" vertical="center" wrapText="1"/>
    </xf>
    <xf numFmtId="4" fontId="17" fillId="5" borderId="29" xfId="0" applyNumberFormat="1" applyFont="1" applyFill="1" applyBorder="1" applyAlignment="1">
      <alignment horizontal="right" vertical="center" wrapText="1"/>
    </xf>
    <xf numFmtId="4" fontId="17" fillId="6" borderId="16" xfId="1" applyNumberFormat="1" applyFont="1" applyFill="1" applyBorder="1" applyAlignment="1">
      <alignment horizontal="center" vertical="center" wrapText="1"/>
    </xf>
    <xf numFmtId="164" fontId="17" fillId="6" borderId="16" xfId="1" applyNumberFormat="1" applyFont="1" applyFill="1" applyBorder="1" applyAlignment="1">
      <alignment horizontal="center" vertical="center" wrapText="1"/>
    </xf>
    <xf numFmtId="0" fontId="17" fillId="6" borderId="16" xfId="1" applyFont="1" applyFill="1" applyBorder="1" applyAlignment="1">
      <alignment horizontal="center" vertical="center" wrapText="1"/>
    </xf>
    <xf numFmtId="2" fontId="17" fillId="6" borderId="16" xfId="1" applyNumberFormat="1" applyFont="1" applyFill="1" applyBorder="1" applyAlignment="1">
      <alignment horizontal="center" vertical="center" wrapText="1"/>
    </xf>
    <xf numFmtId="0" fontId="17" fillId="6" borderId="22" xfId="1" applyFont="1" applyFill="1" applyBorder="1" applyAlignment="1">
      <alignment horizontal="center" vertical="center" wrapText="1"/>
    </xf>
    <xf numFmtId="4" fontId="17" fillId="6" borderId="22" xfId="1" applyNumberFormat="1" applyFont="1" applyFill="1" applyBorder="1" applyAlignment="1">
      <alignment horizontal="center" vertical="center" wrapText="1"/>
    </xf>
    <xf numFmtId="164" fontId="17" fillId="6" borderId="19" xfId="1" applyNumberFormat="1" applyFont="1" applyFill="1" applyBorder="1" applyAlignment="1">
      <alignment horizontal="center" vertical="center" wrapText="1"/>
    </xf>
    <xf numFmtId="4" fontId="17" fillId="6" borderId="19" xfId="1" applyNumberFormat="1" applyFont="1" applyFill="1" applyBorder="1" applyAlignment="1">
      <alignment horizontal="center" vertical="center" wrapText="1"/>
    </xf>
    <xf numFmtId="4" fontId="17" fillId="6" borderId="20" xfId="1" applyNumberFormat="1" applyFont="1" applyFill="1" applyBorder="1" applyAlignment="1">
      <alignment horizontal="center" vertical="center" wrapText="1"/>
    </xf>
    <xf numFmtId="164" fontId="17" fillId="6" borderId="20" xfId="1" applyNumberFormat="1" applyFont="1" applyFill="1" applyBorder="1" applyAlignment="1">
      <alignment horizontal="center" vertical="center" wrapText="1"/>
    </xf>
    <xf numFmtId="4" fontId="17" fillId="6" borderId="37" xfId="1" applyNumberFormat="1" applyFont="1" applyFill="1" applyBorder="1" applyAlignment="1">
      <alignment horizontal="center" vertical="center" wrapText="1"/>
    </xf>
    <xf numFmtId="4" fontId="17" fillId="6" borderId="42" xfId="1" applyNumberFormat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7" fillId="0" borderId="18" xfId="3" applyNumberFormat="1" applyFont="1" applyFill="1" applyBorder="1" applyAlignment="1">
      <alignment horizontal="center"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4" fontId="17" fillId="0" borderId="16" xfId="1" applyNumberFormat="1" applyFont="1" applyFill="1" applyBorder="1" applyAlignment="1">
      <alignment horizontal="center" vertical="center" wrapText="1"/>
    </xf>
    <xf numFmtId="4" fontId="17" fillId="0" borderId="19" xfId="1" applyNumberFormat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4" fontId="17" fillId="0" borderId="13" xfId="1" applyNumberFormat="1" applyFont="1" applyFill="1" applyBorder="1" applyAlignment="1">
      <alignment horizontal="center" vertical="center" wrapText="1"/>
    </xf>
    <xf numFmtId="4" fontId="17" fillId="0" borderId="16" xfId="1" applyNumberFormat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4" fontId="17" fillId="0" borderId="7" xfId="1" applyNumberFormat="1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164" fontId="17" fillId="0" borderId="13" xfId="1" applyNumberFormat="1" applyFont="1" applyFill="1" applyBorder="1" applyAlignment="1">
      <alignment horizontal="center"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4" fontId="17" fillId="2" borderId="16" xfId="1" applyNumberFormat="1" applyFont="1" applyFill="1" applyBorder="1" applyAlignment="1">
      <alignment horizontal="center" vertical="center" wrapText="1"/>
    </xf>
    <xf numFmtId="164" fontId="17" fillId="0" borderId="22" xfId="1" applyNumberFormat="1" applyFont="1" applyFill="1" applyBorder="1" applyAlignment="1">
      <alignment horizontal="center" vertical="center" wrapText="1"/>
    </xf>
    <xf numFmtId="4" fontId="17" fillId="0" borderId="19" xfId="1" applyNumberFormat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 vertical="center" wrapText="1"/>
    </xf>
    <xf numFmtId="164" fontId="17" fillId="0" borderId="7" xfId="1" applyNumberFormat="1" applyFont="1" applyFill="1" applyBorder="1" applyAlignment="1">
      <alignment horizontal="center" vertical="center" wrapText="1"/>
    </xf>
    <xf numFmtId="165" fontId="17" fillId="0" borderId="13" xfId="1" applyNumberFormat="1" applyFont="1" applyFill="1" applyBorder="1" applyAlignment="1">
      <alignment horizontal="center" vertical="center" wrapText="1"/>
    </xf>
    <xf numFmtId="4" fontId="17" fillId="3" borderId="16" xfId="1" applyNumberFormat="1" applyFont="1" applyFill="1" applyBorder="1" applyAlignment="1">
      <alignment horizontal="center" vertical="center" wrapText="1"/>
    </xf>
    <xf numFmtId="0" fontId="17" fillId="4" borderId="19" xfId="1" applyFont="1" applyFill="1" applyBorder="1" applyAlignment="1">
      <alignment horizontal="center" vertical="center" wrapText="1"/>
    </xf>
    <xf numFmtId="4" fontId="17" fillId="4" borderId="47" xfId="1" applyNumberFormat="1" applyFont="1" applyFill="1" applyBorder="1" applyAlignment="1">
      <alignment horizontal="center" vertical="center" wrapText="1"/>
    </xf>
    <xf numFmtId="4" fontId="17" fillId="4" borderId="19" xfId="1" applyNumberFormat="1" applyFont="1" applyFill="1" applyBorder="1" applyAlignment="1">
      <alignment horizontal="center" vertical="center" wrapText="1"/>
    </xf>
    <xf numFmtId="164" fontId="17" fillId="4" borderId="19" xfId="1" applyNumberFormat="1" applyFont="1" applyFill="1" applyBorder="1" applyAlignment="1">
      <alignment horizontal="center" vertical="center" wrapText="1"/>
    </xf>
    <xf numFmtId="164" fontId="17" fillId="4" borderId="20" xfId="1" applyNumberFormat="1" applyFont="1" applyFill="1" applyBorder="1" applyAlignment="1">
      <alignment horizontal="center" vertical="center" wrapText="1"/>
    </xf>
    <xf numFmtId="4" fontId="17" fillId="7" borderId="16" xfId="1" applyNumberFormat="1" applyFont="1" applyFill="1" applyBorder="1" applyAlignment="1">
      <alignment horizontal="center" vertical="center" wrapText="1"/>
    </xf>
    <xf numFmtId="4" fontId="17" fillId="4" borderId="16" xfId="1" applyNumberFormat="1" applyFont="1" applyFill="1" applyBorder="1" applyAlignment="1">
      <alignment horizontal="center" vertical="center" wrapText="1"/>
    </xf>
    <xf numFmtId="4" fontId="17" fillId="5" borderId="24" xfId="1" applyNumberFormat="1" applyFont="1" applyFill="1" applyBorder="1" applyAlignment="1">
      <alignment horizontal="center" vertical="center" wrapText="1"/>
    </xf>
    <xf numFmtId="4" fontId="17" fillId="5" borderId="25" xfId="1" applyNumberFormat="1" applyFont="1" applyFill="1" applyBorder="1" applyAlignment="1">
      <alignment horizontal="center" vertical="center" wrapText="1"/>
    </xf>
    <xf numFmtId="4" fontId="17" fillId="5" borderId="8" xfId="1" applyNumberFormat="1" applyFont="1" applyFill="1" applyBorder="1" applyAlignment="1">
      <alignment horizontal="center" vertical="center" wrapText="1"/>
    </xf>
    <xf numFmtId="164" fontId="17" fillId="5" borderId="8" xfId="1" applyNumberFormat="1" applyFont="1" applyFill="1" applyBorder="1" applyAlignment="1">
      <alignment horizontal="center" vertical="center" wrapText="1"/>
    </xf>
    <xf numFmtId="4" fontId="17" fillId="5" borderId="15" xfId="1" applyNumberFormat="1" applyFont="1" applyFill="1" applyBorder="1" applyAlignment="1">
      <alignment horizontal="center" vertical="center" wrapText="1"/>
    </xf>
    <xf numFmtId="164" fontId="17" fillId="5" borderId="4" xfId="1" applyNumberFormat="1" applyFont="1" applyFill="1" applyBorder="1" applyAlignment="1">
      <alignment horizontal="center" vertical="center" wrapText="1"/>
    </xf>
    <xf numFmtId="4" fontId="17" fillId="5" borderId="17" xfId="1" applyNumberFormat="1" applyFont="1" applyFill="1" applyBorder="1" applyAlignment="1">
      <alignment horizontal="center" vertical="center" wrapText="1"/>
    </xf>
    <xf numFmtId="165" fontId="17" fillId="5" borderId="16" xfId="1" applyNumberFormat="1" applyFont="1" applyFill="1" applyBorder="1" applyAlignment="1">
      <alignment horizontal="center" vertical="center" wrapText="1"/>
    </xf>
    <xf numFmtId="2" fontId="17" fillId="0" borderId="16" xfId="1" applyNumberFormat="1" applyFont="1" applyFill="1" applyBorder="1" applyAlignment="1">
      <alignment horizontal="center" vertical="center" wrapText="1"/>
    </xf>
    <xf numFmtId="0" fontId="17" fillId="7" borderId="16" xfId="1" applyFont="1" applyFill="1" applyBorder="1" applyAlignment="1">
      <alignment horizontal="center" vertical="center" wrapText="1"/>
    </xf>
    <xf numFmtId="164" fontId="17" fillId="5" borderId="7" xfId="1" applyNumberFormat="1" applyFont="1" applyFill="1" applyBorder="1" applyAlignment="1">
      <alignment horizontal="center" vertical="center" wrapText="1"/>
    </xf>
    <xf numFmtId="164" fontId="17" fillId="5" borderId="10" xfId="1" applyNumberFormat="1" applyFont="1" applyFill="1" applyBorder="1" applyAlignment="1">
      <alignment horizontal="center" vertical="center" wrapText="1"/>
    </xf>
    <xf numFmtId="4" fontId="17" fillId="5" borderId="38" xfId="1" applyNumberFormat="1" applyFont="1" applyFill="1" applyBorder="1" applyAlignment="1">
      <alignment horizontal="center" vertical="center" wrapText="1"/>
    </xf>
    <xf numFmtId="43" fontId="17" fillId="0" borderId="19" xfId="9" applyFont="1" applyFill="1" applyBorder="1" applyAlignment="1">
      <alignment horizontal="center" vertical="center" wrapText="1"/>
    </xf>
    <xf numFmtId="0" fontId="17" fillId="4" borderId="16" xfId="3" applyNumberFormat="1" applyFont="1" applyFill="1" applyBorder="1" applyAlignment="1">
      <alignment horizontal="left" vertical="center" wrapText="1"/>
    </xf>
    <xf numFmtId="0" fontId="6" fillId="0" borderId="16" xfId="1" applyFont="1" applyBorder="1"/>
    <xf numFmtId="43" fontId="17" fillId="4" borderId="16" xfId="9" applyFont="1" applyFill="1" applyBorder="1" applyAlignment="1">
      <alignment horizontal="center" vertical="center" wrapText="1"/>
    </xf>
    <xf numFmtId="164" fontId="17" fillId="7" borderId="16" xfId="1" applyNumberFormat="1" applyFont="1" applyFill="1" applyBorder="1" applyAlignment="1">
      <alignment horizontal="center" vertical="center" wrapText="1"/>
    </xf>
    <xf numFmtId="43" fontId="17" fillId="4" borderId="19" xfId="9" applyFont="1" applyFill="1" applyBorder="1" applyAlignment="1">
      <alignment horizontal="center" vertical="center" wrapText="1"/>
    </xf>
    <xf numFmtId="2" fontId="17" fillId="0" borderId="19" xfId="1" applyNumberFormat="1" applyFont="1" applyFill="1" applyBorder="1" applyAlignment="1">
      <alignment horizontal="center" vertical="center" wrapText="1"/>
    </xf>
    <xf numFmtId="2" fontId="17" fillId="0" borderId="22" xfId="1" applyNumberFormat="1" applyFont="1" applyFill="1" applyBorder="1" applyAlignment="1">
      <alignment horizontal="center"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4" fontId="17" fillId="4" borderId="16" xfId="1" applyNumberFormat="1" applyFont="1" applyFill="1" applyBorder="1" applyAlignment="1">
      <alignment horizontal="center" vertical="center" wrapText="1"/>
    </xf>
    <xf numFmtId="0" fontId="17" fillId="0" borderId="18" xfId="3" applyNumberFormat="1" applyFont="1" applyFill="1" applyBorder="1" applyAlignment="1">
      <alignment horizontal="center" vertical="center" wrapText="1"/>
    </xf>
    <xf numFmtId="0" fontId="17" fillId="0" borderId="6" xfId="3" applyNumberFormat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4" fontId="17" fillId="0" borderId="4" xfId="1" applyNumberFormat="1" applyFont="1" applyFill="1" applyBorder="1" applyAlignment="1">
      <alignment horizontal="center" vertical="center" wrapText="1"/>
    </xf>
    <xf numFmtId="4" fontId="17" fillId="0" borderId="22" xfId="1" applyNumberFormat="1" applyFont="1" applyFill="1" applyBorder="1" applyAlignment="1">
      <alignment horizontal="center" vertical="center" wrapText="1"/>
    </xf>
    <xf numFmtId="0" fontId="17" fillId="3" borderId="18" xfId="3" applyNumberFormat="1" applyFont="1" applyFill="1" applyBorder="1" applyAlignment="1">
      <alignment horizontal="center" vertical="center" wrapText="1"/>
    </xf>
    <xf numFmtId="164" fontId="17" fillId="0" borderId="22" xfId="1" applyNumberFormat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4" fontId="17" fillId="4" borderId="19" xfId="1" applyNumberFormat="1" applyFont="1" applyFill="1" applyBorder="1" applyAlignment="1">
      <alignment horizontal="center" vertical="center" wrapText="1"/>
    </xf>
    <xf numFmtId="4" fontId="17" fillId="4" borderId="20" xfId="1" applyNumberFormat="1" applyFont="1" applyFill="1" applyBorder="1" applyAlignment="1">
      <alignment horizontal="center" vertical="center" wrapText="1"/>
    </xf>
    <xf numFmtId="4" fontId="17" fillId="0" borderId="16" xfId="1" applyNumberFormat="1" applyFont="1" applyFill="1" applyBorder="1" applyAlignment="1">
      <alignment horizontal="center" vertical="center" wrapText="1"/>
    </xf>
    <xf numFmtId="4" fontId="17" fillId="0" borderId="7" xfId="1" applyNumberFormat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164" fontId="17" fillId="0" borderId="13" xfId="1" applyNumberFormat="1" applyFont="1" applyFill="1" applyBorder="1" applyAlignment="1">
      <alignment horizontal="center" vertical="center" wrapText="1"/>
    </xf>
    <xf numFmtId="4" fontId="17" fillId="0" borderId="19" xfId="1" applyNumberFormat="1" applyFont="1" applyFill="1" applyBorder="1" applyAlignment="1">
      <alignment horizontal="center" vertical="center" wrapText="1"/>
    </xf>
    <xf numFmtId="164" fontId="17" fillId="0" borderId="19" xfId="1" applyNumberFormat="1" applyFont="1" applyFill="1" applyBorder="1" applyAlignment="1">
      <alignment horizontal="center" vertical="center" wrapText="1"/>
    </xf>
    <xf numFmtId="164" fontId="17" fillId="0" borderId="20" xfId="1" applyNumberFormat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4" fontId="17" fillId="0" borderId="13" xfId="1" applyNumberFormat="1" applyFont="1" applyFill="1" applyBorder="1" applyAlignment="1">
      <alignment horizontal="center" vertical="center" wrapText="1"/>
    </xf>
    <xf numFmtId="4" fontId="17" fillId="3" borderId="19" xfId="1" applyNumberFormat="1" applyFont="1" applyFill="1" applyBorder="1" applyAlignment="1">
      <alignment horizontal="center" vertical="center" wrapText="1"/>
    </xf>
    <xf numFmtId="4" fontId="17" fillId="3" borderId="20" xfId="1" applyNumberFormat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center" vertical="center" wrapText="1"/>
    </xf>
    <xf numFmtId="0" fontId="17" fillId="3" borderId="20" xfId="1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center" vertical="center" wrapText="1"/>
    </xf>
    <xf numFmtId="2" fontId="17" fillId="2" borderId="16" xfId="1" applyNumberFormat="1" applyFont="1" applyFill="1" applyBorder="1" applyAlignment="1">
      <alignment horizontal="center" vertical="center" wrapText="1"/>
    </xf>
    <xf numFmtId="4" fontId="17" fillId="2" borderId="16" xfId="1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4" fontId="17" fillId="0" borderId="14" xfId="1" applyNumberFormat="1" applyFont="1" applyFill="1" applyBorder="1" applyAlignment="1">
      <alignment horizontal="center" vertical="center" wrapText="1"/>
    </xf>
    <xf numFmtId="4" fontId="17" fillId="0" borderId="17" xfId="1" applyNumberFormat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2" fontId="17" fillId="4" borderId="16" xfId="1" applyNumberFormat="1" applyFont="1" applyFill="1" applyBorder="1" applyAlignment="1">
      <alignment horizontal="center" vertical="center" wrapText="1"/>
    </xf>
    <xf numFmtId="2" fontId="17" fillId="0" borderId="16" xfId="1" applyNumberFormat="1" applyFont="1" applyFill="1" applyBorder="1" applyAlignment="1">
      <alignment horizontal="center" vertical="center" wrapText="1"/>
    </xf>
    <xf numFmtId="4" fontId="17" fillId="0" borderId="21" xfId="1" applyNumberFormat="1" applyFont="1" applyFill="1" applyBorder="1" applyAlignment="1">
      <alignment horizontal="center" vertical="center" wrapText="1"/>
    </xf>
    <xf numFmtId="4" fontId="17" fillId="0" borderId="10" xfId="1" applyNumberFormat="1" applyFont="1" applyFill="1" applyBorder="1" applyAlignment="1">
      <alignment horizontal="center" vertical="center" wrapText="1"/>
    </xf>
    <xf numFmtId="4" fontId="17" fillId="6" borderId="17" xfId="1" applyNumberFormat="1" applyFont="1" applyFill="1" applyBorder="1" applyAlignment="1">
      <alignment horizontal="center" vertical="center" wrapText="1"/>
    </xf>
    <xf numFmtId="164" fontId="17" fillId="7" borderId="19" xfId="1" applyNumberFormat="1" applyFont="1" applyFill="1" applyBorder="1" applyAlignment="1">
      <alignment horizontal="center" vertical="center" wrapText="1"/>
    </xf>
    <xf numFmtId="4" fontId="17" fillId="7" borderId="42" xfId="1" applyNumberFormat="1" applyFont="1" applyFill="1" applyBorder="1" applyAlignment="1">
      <alignment horizontal="center" vertical="center" wrapText="1"/>
    </xf>
    <xf numFmtId="4" fontId="17" fillId="7" borderId="19" xfId="1" applyNumberFormat="1" applyFont="1" applyFill="1" applyBorder="1" applyAlignment="1">
      <alignment horizontal="center" vertical="center" wrapText="1"/>
    </xf>
    <xf numFmtId="4" fontId="17" fillId="7" borderId="38" xfId="1" applyNumberFormat="1" applyFont="1" applyFill="1" applyBorder="1" applyAlignment="1">
      <alignment horizontal="center" vertical="center" wrapText="1"/>
    </xf>
    <xf numFmtId="4" fontId="17" fillId="4" borderId="42" xfId="1" applyNumberFormat="1" applyFont="1" applyFill="1" applyBorder="1" applyAlignment="1">
      <alignment horizontal="center" vertical="center" wrapText="1"/>
    </xf>
    <xf numFmtId="4" fontId="17" fillId="4" borderId="10" xfId="1" applyNumberFormat="1" applyFont="1" applyFill="1" applyBorder="1" applyAlignment="1">
      <alignment horizontal="center" vertical="center" wrapText="1"/>
    </xf>
    <xf numFmtId="164" fontId="17" fillId="4" borderId="7" xfId="1" applyNumberFormat="1" applyFont="1" applyFill="1" applyBorder="1" applyAlignment="1">
      <alignment horizontal="center" vertical="center" wrapText="1"/>
    </xf>
    <xf numFmtId="164" fontId="17" fillId="4" borderId="16" xfId="1" applyNumberFormat="1" applyFont="1" applyFill="1" applyBorder="1" applyAlignment="1">
      <alignment horizontal="center" vertical="center" wrapText="1"/>
    </xf>
    <xf numFmtId="2" fontId="17" fillId="8" borderId="19" xfId="1" applyNumberFormat="1" applyFont="1" applyFill="1" applyBorder="1" applyAlignment="1">
      <alignment horizontal="center" vertical="center" wrapText="1"/>
    </xf>
    <xf numFmtId="4" fontId="17" fillId="8" borderId="19" xfId="1" applyNumberFormat="1" applyFont="1" applyFill="1" applyBorder="1" applyAlignment="1">
      <alignment horizontal="center" vertical="center" wrapText="1"/>
    </xf>
    <xf numFmtId="4" fontId="17" fillId="8" borderId="42" xfId="1" applyNumberFormat="1" applyFont="1" applyFill="1" applyBorder="1" applyAlignment="1">
      <alignment horizontal="center" vertical="center" wrapText="1"/>
    </xf>
    <xf numFmtId="43" fontId="0" fillId="0" borderId="19" xfId="0" applyNumberFormat="1" applyBorder="1" applyAlignment="1">
      <alignment horizontal="center" vertical="center" wrapText="1"/>
    </xf>
    <xf numFmtId="164" fontId="17" fillId="8" borderId="19" xfId="1" applyNumberFormat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vertical="center" wrapText="1"/>
    </xf>
    <xf numFmtId="0" fontId="17" fillId="0" borderId="20" xfId="1" applyFont="1" applyFill="1" applyBorder="1" applyAlignment="1">
      <alignment vertical="center" wrapText="1"/>
    </xf>
    <xf numFmtId="0" fontId="17" fillId="0" borderId="22" xfId="1" applyFont="1" applyFill="1" applyBorder="1" applyAlignment="1">
      <alignment vertical="center" wrapText="1"/>
    </xf>
    <xf numFmtId="4" fontId="17" fillId="4" borderId="38" xfId="1" applyNumberFormat="1" applyFont="1" applyFill="1" applyBorder="1" applyAlignment="1">
      <alignment horizontal="center" vertical="center" wrapText="1"/>
    </xf>
    <xf numFmtId="0" fontId="17" fillId="8" borderId="19" xfId="1" applyFont="1" applyFill="1" applyBorder="1" applyAlignment="1">
      <alignment horizontal="center" vertical="center" wrapText="1"/>
    </xf>
    <xf numFmtId="4" fontId="17" fillId="0" borderId="34" xfId="1" applyNumberFormat="1" applyFont="1" applyFill="1" applyBorder="1" applyAlignment="1">
      <alignment horizontal="center" vertical="center" wrapText="1"/>
    </xf>
    <xf numFmtId="4" fontId="17" fillId="4" borderId="17" xfId="1" applyNumberFormat="1" applyFont="1" applyFill="1" applyBorder="1" applyAlignment="1">
      <alignment horizontal="center" vertical="center" wrapText="1"/>
    </xf>
    <xf numFmtId="165" fontId="17" fillId="4" borderId="16" xfId="1" applyNumberFormat="1" applyFont="1" applyFill="1" applyBorder="1" applyAlignment="1">
      <alignment horizontal="center" vertical="center" wrapText="1"/>
    </xf>
    <xf numFmtId="164" fontId="17" fillId="4" borderId="17" xfId="1" applyNumberFormat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vertical="center" wrapText="1"/>
    </xf>
    <xf numFmtId="0" fontId="17" fillId="2" borderId="16" xfId="1" applyFont="1" applyFill="1" applyBorder="1" applyAlignment="1">
      <alignment vertical="center" wrapText="1"/>
    </xf>
    <xf numFmtId="2" fontId="17" fillId="4" borderId="7" xfId="1" applyNumberFormat="1" applyFont="1" applyFill="1" applyBorder="1" applyAlignment="1">
      <alignment horizontal="center" vertical="center" wrapText="1"/>
    </xf>
    <xf numFmtId="2" fontId="17" fillId="4" borderId="10" xfId="1" applyNumberFormat="1" applyFont="1" applyFill="1" applyBorder="1" applyAlignment="1">
      <alignment horizontal="center" vertical="center" wrapText="1"/>
    </xf>
    <xf numFmtId="164" fontId="17" fillId="2" borderId="16" xfId="1" applyNumberFormat="1" applyFont="1" applyFill="1" applyBorder="1" applyAlignment="1">
      <alignment horizontal="center" vertical="center" wrapText="1"/>
    </xf>
    <xf numFmtId="43" fontId="6" fillId="0" borderId="0" xfId="1" applyNumberFormat="1" applyFont="1"/>
    <xf numFmtId="4" fontId="17" fillId="2" borderId="42" xfId="1" applyNumberFormat="1" applyFont="1" applyFill="1" applyBorder="1" applyAlignment="1">
      <alignment horizontal="center" vertical="center" wrapText="1"/>
    </xf>
    <xf numFmtId="165" fontId="17" fillId="7" borderId="13" xfId="1" applyNumberFormat="1" applyFont="1" applyFill="1" applyBorder="1" applyAlignment="1">
      <alignment horizontal="center" vertical="center" wrapText="1"/>
    </xf>
    <xf numFmtId="164" fontId="17" fillId="7" borderId="13" xfId="1" applyNumberFormat="1" applyFont="1" applyFill="1" applyBorder="1" applyAlignment="1">
      <alignment horizontal="center" vertical="center" wrapText="1"/>
    </xf>
    <xf numFmtId="164" fontId="17" fillId="7" borderId="14" xfId="1" applyNumberFormat="1" applyFont="1" applyFill="1" applyBorder="1" applyAlignment="1">
      <alignment horizontal="center" vertical="center" wrapText="1"/>
    </xf>
    <xf numFmtId="165" fontId="17" fillId="7" borderId="7" xfId="1" applyNumberFormat="1" applyFont="1" applyFill="1" applyBorder="1" applyAlignment="1">
      <alignment horizontal="center" vertical="center" wrapText="1"/>
    </xf>
    <xf numFmtId="164" fontId="17" fillId="7" borderId="7" xfId="1" applyNumberFormat="1" applyFont="1" applyFill="1" applyBorder="1" applyAlignment="1">
      <alignment horizontal="center" vertical="center" wrapText="1"/>
    </xf>
    <xf numFmtId="164" fontId="17" fillId="7" borderId="10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vertical="center" wrapText="1"/>
    </xf>
    <xf numFmtId="164" fontId="17" fillId="0" borderId="4" xfId="1" applyNumberFormat="1" applyFont="1" applyFill="1" applyBorder="1" applyAlignment="1">
      <alignment horizontal="center" vertical="center" wrapText="1"/>
    </xf>
    <xf numFmtId="0" fontId="6" fillId="0" borderId="19" xfId="1" applyFont="1" applyBorder="1"/>
    <xf numFmtId="0" fontId="17" fillId="4" borderId="42" xfId="1" applyFont="1" applyFill="1" applyBorder="1" applyAlignment="1">
      <alignment horizontal="center" vertical="center" wrapText="1"/>
    </xf>
    <xf numFmtId="0" fontId="17" fillId="4" borderId="50" xfId="1" applyFont="1" applyFill="1" applyBorder="1" applyAlignment="1">
      <alignment horizontal="center" vertical="center" wrapText="1"/>
    </xf>
    <xf numFmtId="4" fontId="17" fillId="4" borderId="34" xfId="1" applyNumberFormat="1" applyFont="1" applyFill="1" applyBorder="1" applyAlignment="1">
      <alignment horizontal="center" vertical="center" wrapText="1"/>
    </xf>
    <xf numFmtId="4" fontId="17" fillId="0" borderId="47" xfId="1" applyNumberFormat="1" applyFont="1" applyFill="1" applyBorder="1" applyAlignment="1">
      <alignment horizontal="center" vertical="center" wrapText="1"/>
    </xf>
    <xf numFmtId="4" fontId="18" fillId="0" borderId="0" xfId="1" applyNumberFormat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vertical="center" wrapText="1"/>
    </xf>
    <xf numFmtId="2" fontId="17" fillId="0" borderId="7" xfId="1" applyNumberFormat="1" applyFont="1" applyFill="1" applyBorder="1" applyAlignment="1">
      <alignment horizontal="center" vertical="center" wrapText="1"/>
    </xf>
    <xf numFmtId="2" fontId="17" fillId="0" borderId="10" xfId="1" applyNumberFormat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vertical="center" wrapText="1"/>
    </xf>
    <xf numFmtId="0" fontId="17" fillId="0" borderId="1" xfId="3" applyNumberFormat="1" applyFont="1" applyFill="1" applyBorder="1" applyAlignment="1">
      <alignment vertical="center" wrapText="1"/>
    </xf>
    <xf numFmtId="4" fontId="17" fillId="0" borderId="37" xfId="1" applyNumberFormat="1" applyFont="1" applyFill="1" applyBorder="1" applyAlignment="1">
      <alignment horizontal="center" vertical="center" wrapText="1"/>
    </xf>
    <xf numFmtId="0" fontId="18" fillId="0" borderId="32" xfId="1" applyFont="1" applyFill="1" applyBorder="1" applyAlignment="1">
      <alignment horizontal="center" vertical="center" wrapText="1"/>
    </xf>
    <xf numFmtId="0" fontId="18" fillId="0" borderId="33" xfId="1" applyFont="1" applyFill="1" applyBorder="1" applyAlignment="1">
      <alignment horizontal="center" vertical="center" wrapText="1"/>
    </xf>
    <xf numFmtId="4" fontId="18" fillId="0" borderId="33" xfId="1" applyNumberFormat="1" applyFont="1" applyFill="1" applyBorder="1" applyAlignment="1">
      <alignment horizontal="center" vertical="center" wrapText="1"/>
    </xf>
    <xf numFmtId="4" fontId="17" fillId="0" borderId="33" xfId="1" applyNumberFormat="1" applyFont="1" applyFill="1" applyBorder="1" applyAlignment="1">
      <alignment horizontal="center" vertical="center" wrapText="1"/>
    </xf>
    <xf numFmtId="4" fontId="18" fillId="0" borderId="5" xfId="1" applyNumberFormat="1" applyFont="1" applyFill="1" applyBorder="1" applyAlignment="1">
      <alignment horizontal="center" vertical="center" wrapText="1"/>
    </xf>
    <xf numFmtId="43" fontId="0" fillId="0" borderId="19" xfId="0" applyNumberFormat="1" applyFill="1" applyBorder="1" applyAlignment="1">
      <alignment horizontal="center" vertical="center" wrapText="1"/>
    </xf>
    <xf numFmtId="0" fontId="6" fillId="0" borderId="16" xfId="1" applyFont="1" applyFill="1" applyBorder="1"/>
    <xf numFmtId="43" fontId="17" fillId="0" borderId="16" xfId="9" applyFont="1" applyFill="1" applyBorder="1" applyAlignment="1">
      <alignment horizontal="center" vertical="center" wrapText="1"/>
    </xf>
    <xf numFmtId="165" fontId="17" fillId="0" borderId="7" xfId="1" applyNumberFormat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left" vertical="center" wrapText="1"/>
    </xf>
    <xf numFmtId="2" fontId="17" fillId="0" borderId="16" xfId="1" applyNumberFormat="1" applyFont="1" applyFill="1" applyBorder="1" applyAlignment="1">
      <alignment vertical="center" wrapText="1"/>
    </xf>
    <xf numFmtId="4" fontId="17" fillId="0" borderId="16" xfId="1" applyNumberFormat="1" applyFont="1" applyFill="1" applyBorder="1" applyAlignment="1">
      <alignment horizontal="center" vertical="center" wrapText="1"/>
    </xf>
    <xf numFmtId="4" fontId="17" fillId="0" borderId="22" xfId="1" applyNumberFormat="1" applyFont="1" applyFill="1" applyBorder="1" applyAlignment="1">
      <alignment horizontal="center" vertical="center" wrapText="1"/>
    </xf>
    <xf numFmtId="164" fontId="17" fillId="0" borderId="22" xfId="1" applyNumberFormat="1" applyFont="1" applyFill="1" applyBorder="1" applyAlignment="1">
      <alignment horizontal="center"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vertical="center" wrapText="1"/>
    </xf>
    <xf numFmtId="4" fontId="17" fillId="0" borderId="28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21" fillId="0" borderId="30" xfId="0" applyFont="1" applyFill="1" applyBorder="1" applyAlignment="1">
      <alignment vertical="center" wrapText="1"/>
    </xf>
    <xf numFmtId="0" fontId="21" fillId="0" borderId="28" xfId="0" applyFont="1" applyFill="1" applyBorder="1" applyAlignment="1">
      <alignment horizontal="right" vertical="center" wrapText="1"/>
    </xf>
    <xf numFmtId="4" fontId="21" fillId="0" borderId="28" xfId="0" applyNumberFormat="1" applyFont="1" applyFill="1" applyBorder="1" applyAlignment="1">
      <alignment horizontal="right" vertical="center" wrapText="1"/>
    </xf>
    <xf numFmtId="4" fontId="17" fillId="0" borderId="29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4" fontId="6" fillId="0" borderId="0" xfId="1" applyNumberFormat="1" applyFont="1"/>
    <xf numFmtId="43" fontId="6" fillId="0" borderId="0" xfId="9" applyFont="1"/>
    <xf numFmtId="0" fontId="18" fillId="0" borderId="54" xfId="1" applyFont="1" applyFill="1" applyBorder="1" applyAlignment="1">
      <alignment vertical="center"/>
    </xf>
    <xf numFmtId="0" fontId="18" fillId="0" borderId="55" xfId="1" applyFont="1" applyFill="1" applyBorder="1" applyAlignment="1">
      <alignment vertical="center"/>
    </xf>
    <xf numFmtId="0" fontId="18" fillId="0" borderId="53" xfId="1" applyFont="1" applyFill="1" applyBorder="1" applyAlignment="1">
      <alignment horizontal="center" vertical="center"/>
    </xf>
    <xf numFmtId="0" fontId="1" fillId="0" borderId="0" xfId="1" applyFont="1"/>
    <xf numFmtId="4" fontId="17" fillId="0" borderId="16" xfId="1" applyNumberFormat="1" applyFont="1" applyFill="1" applyBorder="1" applyAlignment="1">
      <alignment horizontal="center"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4" fontId="17" fillId="0" borderId="13" xfId="1" applyNumberFormat="1" applyFont="1" applyFill="1" applyBorder="1" applyAlignment="1">
      <alignment horizontal="center" vertical="center" wrapText="1"/>
    </xf>
    <xf numFmtId="4" fontId="17" fillId="0" borderId="16" xfId="1" applyNumberFormat="1" applyFont="1" applyFill="1" applyBorder="1" applyAlignment="1">
      <alignment horizontal="center" vertical="center" wrapText="1"/>
    </xf>
    <xf numFmtId="4" fontId="17" fillId="0" borderId="17" xfId="1" applyNumberFormat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4" fontId="17" fillId="0" borderId="7" xfId="1" applyNumberFormat="1" applyFont="1" applyFill="1" applyBorder="1" applyAlignment="1">
      <alignment horizontal="center" vertical="center" wrapText="1"/>
    </xf>
    <xf numFmtId="4" fontId="17" fillId="0" borderId="22" xfId="1" applyNumberFormat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43" fontId="17" fillId="0" borderId="19" xfId="9" applyFont="1" applyFill="1" applyBorder="1" applyAlignment="1">
      <alignment horizontal="center" vertical="center" wrapText="1"/>
    </xf>
    <xf numFmtId="4" fontId="17" fillId="0" borderId="19" xfId="1" applyNumberFormat="1" applyFont="1" applyFill="1" applyBorder="1" applyAlignment="1">
      <alignment horizontal="center" vertical="center" wrapText="1"/>
    </xf>
    <xf numFmtId="164" fontId="17" fillId="0" borderId="19" xfId="1" applyNumberFormat="1" applyFont="1" applyFill="1" applyBorder="1" applyAlignment="1">
      <alignment horizontal="center" vertical="center" wrapText="1"/>
    </xf>
    <xf numFmtId="164" fontId="17" fillId="0" borderId="20" xfId="1" applyNumberFormat="1" applyFont="1" applyFill="1" applyBorder="1" applyAlignment="1">
      <alignment horizontal="center" vertical="center" wrapText="1"/>
    </xf>
    <xf numFmtId="164" fontId="17" fillId="0" borderId="22" xfId="1" applyNumberFormat="1" applyFont="1" applyFill="1" applyBorder="1" applyAlignment="1">
      <alignment horizontal="center"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2" fontId="17" fillId="0" borderId="16" xfId="1" applyNumberFormat="1" applyFont="1" applyFill="1" applyBorder="1" applyAlignment="1">
      <alignment horizontal="center" vertical="center" wrapText="1"/>
    </xf>
    <xf numFmtId="164" fontId="17" fillId="0" borderId="4" xfId="1" applyNumberFormat="1" applyFont="1" applyFill="1" applyBorder="1" applyAlignment="1">
      <alignment horizontal="center" vertical="center" wrapText="1"/>
    </xf>
    <xf numFmtId="164" fontId="4" fillId="0" borderId="0" xfId="1" applyNumberFormat="1"/>
    <xf numFmtId="4" fontId="17" fillId="0" borderId="19" xfId="1" applyNumberFormat="1" applyFont="1" applyFill="1" applyBorder="1" applyAlignment="1">
      <alignment horizontal="center" vertical="center" wrapText="1"/>
    </xf>
    <xf numFmtId="4" fontId="17" fillId="0" borderId="20" xfId="1" applyNumberFormat="1" applyFont="1" applyFill="1" applyBorder="1" applyAlignment="1">
      <alignment horizontal="center" vertical="center" wrapText="1"/>
    </xf>
    <xf numFmtId="4" fontId="17" fillId="0" borderId="22" xfId="1" applyNumberFormat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2" fontId="17" fillId="0" borderId="19" xfId="1" applyNumberFormat="1" applyFont="1" applyFill="1" applyBorder="1" applyAlignment="1">
      <alignment horizontal="center" vertical="center" wrapText="1"/>
    </xf>
    <xf numFmtId="2" fontId="17" fillId="0" borderId="22" xfId="1" applyNumberFormat="1" applyFont="1" applyFill="1" applyBorder="1" applyAlignment="1">
      <alignment horizontal="center" vertical="center" wrapText="1"/>
    </xf>
    <xf numFmtId="0" fontId="17" fillId="0" borderId="18" xfId="3" applyNumberFormat="1" applyFont="1" applyFill="1" applyBorder="1" applyAlignment="1">
      <alignment horizontal="center" vertical="center" wrapText="1"/>
    </xf>
    <xf numFmtId="0" fontId="17" fillId="0" borderId="6" xfId="3" applyNumberFormat="1" applyFont="1" applyFill="1" applyBorder="1" applyAlignment="1">
      <alignment horizontal="center" vertical="center" wrapText="1"/>
    </xf>
    <xf numFmtId="0" fontId="17" fillId="0" borderId="42" xfId="1" applyFont="1" applyFill="1" applyBorder="1" applyAlignment="1">
      <alignment horizontal="center" vertical="center" wrapText="1"/>
    </xf>
    <xf numFmtId="0" fontId="17" fillId="0" borderId="34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45" xfId="1" applyFont="1" applyFill="1" applyBorder="1" applyAlignment="1">
      <alignment horizontal="center" vertical="center" wrapText="1"/>
    </xf>
    <xf numFmtId="0" fontId="17" fillId="0" borderId="49" xfId="1" applyFont="1" applyFill="1" applyBorder="1" applyAlignment="1">
      <alignment horizontal="center" vertical="center" wrapText="1"/>
    </xf>
    <xf numFmtId="0" fontId="17" fillId="0" borderId="46" xfId="1" applyFont="1" applyFill="1" applyBorder="1" applyAlignment="1">
      <alignment horizontal="center" vertical="center" wrapText="1"/>
    </xf>
    <xf numFmtId="0" fontId="17" fillId="0" borderId="50" xfId="1" applyFont="1" applyFill="1" applyBorder="1" applyAlignment="1">
      <alignment horizontal="center" vertical="center" wrapText="1"/>
    </xf>
    <xf numFmtId="0" fontId="17" fillId="0" borderId="47" xfId="1" applyFont="1" applyFill="1" applyBorder="1" applyAlignment="1">
      <alignment horizontal="center" vertical="center" wrapText="1"/>
    </xf>
    <xf numFmtId="0" fontId="17" fillId="0" borderId="1" xfId="3" applyNumberFormat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165" fontId="17" fillId="0" borderId="19" xfId="1" applyNumberFormat="1" applyFont="1" applyFill="1" applyBorder="1" applyAlignment="1">
      <alignment horizontal="center" vertical="center" wrapText="1"/>
    </xf>
    <xf numFmtId="165" fontId="17" fillId="0" borderId="20" xfId="1" applyNumberFormat="1" applyFont="1" applyFill="1" applyBorder="1" applyAlignment="1">
      <alignment horizontal="center" vertical="center" wrapText="1"/>
    </xf>
    <xf numFmtId="165" fontId="17" fillId="0" borderId="22" xfId="1" applyNumberFormat="1" applyFont="1" applyFill="1" applyBorder="1" applyAlignment="1">
      <alignment horizontal="center" vertical="center" wrapText="1"/>
    </xf>
    <xf numFmtId="2" fontId="17" fillId="0" borderId="20" xfId="1" applyNumberFormat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0" fontId="17" fillId="0" borderId="42" xfId="3" applyNumberFormat="1" applyFont="1" applyFill="1" applyBorder="1" applyAlignment="1">
      <alignment horizontal="center" vertical="center" wrapText="1"/>
    </xf>
    <xf numFmtId="0" fontId="17" fillId="0" borderId="47" xfId="3" applyNumberFormat="1" applyFont="1" applyFill="1" applyBorder="1" applyAlignment="1">
      <alignment horizontal="center" vertical="center" wrapText="1"/>
    </xf>
    <xf numFmtId="0" fontId="17" fillId="0" borderId="34" xfId="3" applyNumberFormat="1" applyFont="1" applyFill="1" applyBorder="1" applyAlignment="1">
      <alignment horizontal="center" vertical="center" wrapText="1"/>
    </xf>
    <xf numFmtId="0" fontId="17" fillId="0" borderId="36" xfId="3" applyNumberFormat="1" applyFont="1" applyFill="1" applyBorder="1" applyAlignment="1">
      <alignment horizontal="center" vertical="center" wrapText="1"/>
    </xf>
    <xf numFmtId="0" fontId="17" fillId="0" borderId="26" xfId="3" applyNumberFormat="1" applyFont="1" applyFill="1" applyBorder="1" applyAlignment="1">
      <alignment horizontal="center" vertical="center" wrapText="1"/>
    </xf>
    <xf numFmtId="0" fontId="17" fillId="0" borderId="48" xfId="3" applyNumberFormat="1" applyFont="1" applyFill="1" applyBorder="1" applyAlignment="1">
      <alignment horizontal="center" vertical="center" wrapText="1"/>
    </xf>
    <xf numFmtId="0" fontId="17" fillId="0" borderId="51" xfId="3" applyNumberFormat="1" applyFont="1" applyFill="1" applyBorder="1" applyAlignment="1">
      <alignment horizontal="center" vertical="center" wrapText="1"/>
    </xf>
    <xf numFmtId="0" fontId="17" fillId="0" borderId="52" xfId="3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164" fontId="19" fillId="0" borderId="0" xfId="0" applyNumberFormat="1" applyFont="1" applyFill="1"/>
    <xf numFmtId="0" fontId="19" fillId="0" borderId="0" xfId="0" applyFont="1" applyFill="1"/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31" xfId="0" applyFont="1" applyFill="1" applyBorder="1" applyAlignment="1">
      <alignment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4" fontId="21" fillId="0" borderId="12" xfId="0" applyNumberFormat="1" applyFont="1" applyFill="1" applyBorder="1" applyAlignment="1">
      <alignment horizontal="right" vertical="center" wrapText="1"/>
    </xf>
    <xf numFmtId="4" fontId="17" fillId="0" borderId="32" xfId="0" applyNumberFormat="1" applyFont="1" applyFill="1" applyBorder="1" applyAlignment="1">
      <alignment horizontal="right" vertical="center" wrapText="1"/>
    </xf>
    <xf numFmtId="4" fontId="17" fillId="0" borderId="5" xfId="0" applyNumberFormat="1" applyFont="1" applyFill="1" applyBorder="1" applyAlignment="1">
      <alignment horizontal="right" vertical="center" wrapText="1"/>
    </xf>
    <xf numFmtId="4" fontId="17" fillId="0" borderId="11" xfId="0" applyNumberFormat="1" applyFont="1" applyFill="1" applyBorder="1" applyAlignment="1">
      <alignment horizontal="right" vertical="center" wrapText="1"/>
    </xf>
    <xf numFmtId="4" fontId="17" fillId="0" borderId="12" xfId="0" applyNumberFormat="1" applyFont="1" applyFill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right" vertical="center" wrapText="1"/>
    </xf>
    <xf numFmtId="165" fontId="17" fillId="0" borderId="18" xfId="1" applyNumberFormat="1" applyFont="1" applyFill="1" applyBorder="1" applyAlignment="1">
      <alignment horizontal="center" vertical="center" wrapText="1"/>
    </xf>
    <xf numFmtId="164" fontId="17" fillId="0" borderId="20" xfId="1" applyNumberFormat="1" applyFont="1" applyFill="1" applyBorder="1" applyAlignment="1">
      <alignment horizontal="center" vertical="center" wrapText="1"/>
    </xf>
    <xf numFmtId="164" fontId="17" fillId="0" borderId="22" xfId="1" applyNumberFormat="1" applyFont="1" applyFill="1" applyBorder="1" applyAlignment="1">
      <alignment horizontal="center" vertical="center" wrapText="1"/>
    </xf>
    <xf numFmtId="2" fontId="17" fillId="0" borderId="4" xfId="1" applyNumberFormat="1" applyFont="1" applyFill="1" applyBorder="1" applyAlignment="1">
      <alignment horizontal="center" vertical="center" wrapText="1"/>
    </xf>
    <xf numFmtId="2" fontId="17" fillId="0" borderId="8" xfId="1" applyNumberFormat="1" applyFont="1" applyFill="1" applyBorder="1" applyAlignment="1">
      <alignment horizontal="center" vertical="center" wrapText="1"/>
    </xf>
    <xf numFmtId="4" fontId="17" fillId="0" borderId="13" xfId="1" applyNumberFormat="1" applyFont="1" applyFill="1" applyBorder="1" applyAlignment="1">
      <alignment horizontal="center" vertical="center" wrapText="1"/>
    </xf>
    <xf numFmtId="4" fontId="17" fillId="0" borderId="16" xfId="1" applyNumberFormat="1" applyFont="1" applyFill="1" applyBorder="1" applyAlignment="1">
      <alignment horizontal="center" vertical="center" wrapText="1"/>
    </xf>
    <xf numFmtId="0" fontId="17" fillId="0" borderId="44" xfId="1" applyFont="1" applyFill="1" applyBorder="1" applyAlignment="1">
      <alignment horizontal="center"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164" fontId="17" fillId="0" borderId="19" xfId="1" applyNumberFormat="1" applyFont="1" applyFill="1" applyBorder="1" applyAlignment="1">
      <alignment horizontal="center" vertical="center" wrapText="1"/>
    </xf>
    <xf numFmtId="0" fontId="17" fillId="0" borderId="43" xfId="1" applyFont="1" applyFill="1" applyBorder="1" applyAlignment="1">
      <alignment horizontal="center" vertical="center" wrapText="1"/>
    </xf>
    <xf numFmtId="0" fontId="17" fillId="0" borderId="39" xfId="3" applyNumberFormat="1" applyFont="1" applyFill="1" applyBorder="1" applyAlignment="1">
      <alignment horizontal="center" vertical="center" wrapText="1"/>
    </xf>
    <xf numFmtId="0" fontId="17" fillId="0" borderId="41" xfId="3" applyNumberFormat="1" applyFont="1" applyFill="1" applyBorder="1" applyAlignment="1">
      <alignment horizontal="center" vertical="center" wrapText="1"/>
    </xf>
    <xf numFmtId="164" fontId="17" fillId="0" borderId="4" xfId="1" applyNumberFormat="1" applyFont="1" applyFill="1" applyBorder="1" applyAlignment="1">
      <alignment horizontal="center" vertical="center" wrapText="1"/>
    </xf>
    <xf numFmtId="166" fontId="17" fillId="0" borderId="22" xfId="9" applyNumberFormat="1" applyFont="1" applyFill="1" applyBorder="1" applyAlignment="1">
      <alignment horizontal="center" vertical="center" wrapText="1"/>
    </xf>
    <xf numFmtId="166" fontId="17" fillId="0" borderId="16" xfId="9" applyNumberFormat="1" applyFont="1" applyFill="1" applyBorder="1" applyAlignment="1">
      <alignment horizontal="center" vertical="center" wrapText="1"/>
    </xf>
    <xf numFmtId="166" fontId="17" fillId="0" borderId="19" xfId="9" applyNumberFormat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43" xfId="3" applyNumberFormat="1" applyFont="1" applyFill="1" applyBorder="1" applyAlignment="1">
      <alignment horizontal="center" vertical="center" wrapText="1"/>
    </xf>
    <xf numFmtId="0" fontId="17" fillId="0" borderId="44" xfId="3" applyNumberFormat="1" applyFont="1" applyFill="1" applyBorder="1" applyAlignment="1">
      <alignment horizontal="center" vertical="center" wrapText="1"/>
    </xf>
    <xf numFmtId="0" fontId="17" fillId="0" borderId="40" xfId="3" applyNumberFormat="1" applyFont="1" applyFill="1" applyBorder="1" applyAlignment="1">
      <alignment horizontal="center" vertical="center" wrapText="1"/>
    </xf>
    <xf numFmtId="4" fontId="17" fillId="0" borderId="7" xfId="1" applyNumberFormat="1" applyFont="1" applyFill="1" applyBorder="1" applyAlignment="1">
      <alignment horizontal="center" vertical="center" wrapText="1"/>
    </xf>
    <xf numFmtId="2" fontId="17" fillId="0" borderId="16" xfId="1" applyNumberFormat="1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43" fontId="17" fillId="0" borderId="19" xfId="9" applyFont="1" applyFill="1" applyBorder="1" applyAlignment="1">
      <alignment horizontal="center" vertical="center" wrapText="1"/>
    </xf>
    <xf numFmtId="43" fontId="17" fillId="0" borderId="20" xfId="9" applyFont="1" applyFill="1" applyBorder="1" applyAlignment="1">
      <alignment horizontal="center" vertical="center" wrapText="1"/>
    </xf>
    <xf numFmtId="43" fontId="17" fillId="0" borderId="22" xfId="9" applyFont="1" applyFill="1" applyBorder="1" applyAlignment="1">
      <alignment horizontal="center" vertical="center" wrapText="1"/>
    </xf>
    <xf numFmtId="4" fontId="17" fillId="2" borderId="16" xfId="1" applyNumberFormat="1" applyFont="1" applyFill="1" applyBorder="1" applyAlignment="1">
      <alignment horizontal="center" vertical="center" wrapText="1"/>
    </xf>
    <xf numFmtId="0" fontId="17" fillId="0" borderId="19" xfId="3" applyNumberFormat="1" applyFont="1" applyFill="1" applyBorder="1" applyAlignment="1">
      <alignment horizontal="center" vertical="center" wrapText="1"/>
    </xf>
    <xf numFmtId="0" fontId="17" fillId="0" borderId="20" xfId="3" applyNumberFormat="1" applyFont="1" applyFill="1" applyBorder="1" applyAlignment="1">
      <alignment horizontal="center" vertical="center" wrapText="1"/>
    </xf>
    <xf numFmtId="0" fontId="17" fillId="0" borderId="22" xfId="3" applyNumberFormat="1" applyFont="1" applyFill="1" applyBorder="1" applyAlignment="1">
      <alignment horizontal="center" vertical="center" wrapText="1"/>
    </xf>
    <xf numFmtId="0" fontId="17" fillId="5" borderId="19" xfId="1" applyFont="1" applyFill="1" applyBorder="1" applyAlignment="1">
      <alignment horizontal="center" vertical="center" wrapText="1"/>
    </xf>
    <xf numFmtId="0" fontId="17" fillId="5" borderId="20" xfId="1" applyFont="1" applyFill="1" applyBorder="1" applyAlignment="1">
      <alignment horizontal="center" vertical="center" wrapText="1"/>
    </xf>
    <xf numFmtId="0" fontId="17" fillId="5" borderId="22" xfId="1" applyFont="1" applyFill="1" applyBorder="1" applyAlignment="1">
      <alignment horizontal="center" vertical="center" wrapText="1"/>
    </xf>
    <xf numFmtId="164" fontId="17" fillId="5" borderId="19" xfId="1" applyNumberFormat="1" applyFont="1" applyFill="1" applyBorder="1" applyAlignment="1">
      <alignment horizontal="center" vertical="center" wrapText="1"/>
    </xf>
    <xf numFmtId="164" fontId="17" fillId="5" borderId="20" xfId="1" applyNumberFormat="1" applyFont="1" applyFill="1" applyBorder="1" applyAlignment="1">
      <alignment horizontal="center" vertical="center" wrapText="1"/>
    </xf>
    <xf numFmtId="164" fontId="17" fillId="5" borderId="22" xfId="1" applyNumberFormat="1" applyFont="1" applyFill="1" applyBorder="1" applyAlignment="1">
      <alignment horizontal="center" vertical="center" wrapText="1"/>
    </xf>
    <xf numFmtId="4" fontId="17" fillId="5" borderId="19" xfId="1" applyNumberFormat="1" applyFont="1" applyFill="1" applyBorder="1" applyAlignment="1">
      <alignment horizontal="center" vertical="center" wrapText="1"/>
    </xf>
    <xf numFmtId="4" fontId="17" fillId="5" borderId="20" xfId="1" applyNumberFormat="1" applyFont="1" applyFill="1" applyBorder="1" applyAlignment="1">
      <alignment horizontal="center" vertical="center" wrapText="1"/>
    </xf>
    <xf numFmtId="4" fontId="17" fillId="5" borderId="22" xfId="1" applyNumberFormat="1" applyFont="1" applyFill="1" applyBorder="1" applyAlignment="1">
      <alignment horizontal="center" vertical="center" wrapText="1"/>
    </xf>
    <xf numFmtId="4" fontId="17" fillId="0" borderId="21" xfId="1" applyNumberFormat="1" applyFont="1" applyFill="1" applyBorder="1" applyAlignment="1">
      <alignment horizontal="center" vertical="center" wrapText="1"/>
    </xf>
    <xf numFmtId="4" fontId="17" fillId="0" borderId="10" xfId="1" applyNumberFormat="1" applyFont="1" applyFill="1" applyBorder="1" applyAlignment="1">
      <alignment horizontal="center" vertical="center" wrapText="1"/>
    </xf>
    <xf numFmtId="4" fontId="17" fillId="0" borderId="14" xfId="1" applyNumberFormat="1" applyFont="1" applyFill="1" applyBorder="1" applyAlignment="1">
      <alignment horizontal="center" vertical="center" wrapText="1"/>
    </xf>
    <xf numFmtId="4" fontId="17" fillId="0" borderId="17" xfId="1" applyNumberFormat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center" vertical="center" wrapText="1"/>
    </xf>
    <xf numFmtId="2" fontId="17" fillId="2" borderId="13" xfId="1" applyNumberFormat="1" applyFont="1" applyFill="1" applyBorder="1" applyAlignment="1">
      <alignment horizontal="center" vertical="center" wrapText="1"/>
    </xf>
    <xf numFmtId="2" fontId="17" fillId="2" borderId="16" xfId="1" applyNumberFormat="1" applyFont="1" applyFill="1" applyBorder="1" applyAlignment="1">
      <alignment horizontal="center" vertical="center" wrapText="1"/>
    </xf>
    <xf numFmtId="4" fontId="6" fillId="0" borderId="33" xfId="1" applyNumberFormat="1" applyFont="1" applyFill="1" applyBorder="1" applyAlignment="1">
      <alignment horizontal="center"/>
    </xf>
    <xf numFmtId="0" fontId="6" fillId="0" borderId="33" xfId="1" applyFont="1" applyFill="1" applyBorder="1" applyAlignment="1">
      <alignment horizontal="center"/>
    </xf>
    <xf numFmtId="0" fontId="8" fillId="0" borderId="0" xfId="1" applyFont="1" applyFill="1" applyAlignment="1">
      <alignment horizontal="center" vertical="center" wrapText="1"/>
    </xf>
    <xf numFmtId="0" fontId="8" fillId="0" borderId="0" xfId="2" applyFont="1" applyFill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 wrapText="1"/>
    </xf>
    <xf numFmtId="0" fontId="17" fillId="3" borderId="20" xfId="1" applyFont="1" applyFill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 wrapText="1"/>
    </xf>
    <xf numFmtId="4" fontId="17" fillId="3" borderId="19" xfId="1" applyNumberFormat="1" applyFont="1" applyFill="1" applyBorder="1" applyAlignment="1">
      <alignment horizontal="center" vertical="center" wrapText="1"/>
    </xf>
    <xf numFmtId="4" fontId="17" fillId="3" borderId="20" xfId="1" applyNumberFormat="1" applyFont="1" applyFill="1" applyBorder="1" applyAlignment="1">
      <alignment horizontal="center" vertical="center" wrapText="1"/>
    </xf>
    <xf numFmtId="4" fontId="17" fillId="3" borderId="22" xfId="1" applyNumberFormat="1" applyFont="1" applyFill="1" applyBorder="1" applyAlignment="1">
      <alignment horizontal="center" vertical="center" wrapText="1"/>
    </xf>
    <xf numFmtId="4" fontId="17" fillId="7" borderId="19" xfId="1" applyNumberFormat="1" applyFont="1" applyFill="1" applyBorder="1" applyAlignment="1">
      <alignment horizontal="center" vertical="center" wrapText="1"/>
    </xf>
    <xf numFmtId="4" fontId="17" fillId="7" borderId="20" xfId="1" applyNumberFormat="1" applyFont="1" applyFill="1" applyBorder="1" applyAlignment="1">
      <alignment horizontal="center" vertical="center" wrapText="1"/>
    </xf>
    <xf numFmtId="0" fontId="17" fillId="4" borderId="16" xfId="1" applyFont="1" applyFill="1" applyBorder="1" applyAlignment="1">
      <alignment horizontal="center" vertical="center" wrapText="1"/>
    </xf>
    <xf numFmtId="2" fontId="17" fillId="4" borderId="16" xfId="1" applyNumberFormat="1" applyFont="1" applyFill="1" applyBorder="1" applyAlignment="1">
      <alignment horizontal="center" vertical="center" wrapText="1"/>
    </xf>
    <xf numFmtId="0" fontId="17" fillId="6" borderId="45" xfId="1" applyFont="1" applyFill="1" applyBorder="1" applyAlignment="1">
      <alignment horizontal="center" vertical="center" wrapText="1"/>
    </xf>
    <xf numFmtId="0" fontId="17" fillId="6" borderId="49" xfId="1" applyFont="1" applyFill="1" applyBorder="1" applyAlignment="1">
      <alignment horizontal="center" vertical="center" wrapText="1"/>
    </xf>
    <xf numFmtId="0" fontId="17" fillId="6" borderId="46" xfId="1" applyFont="1" applyFill="1" applyBorder="1" applyAlignment="1">
      <alignment horizontal="center" vertical="center" wrapText="1"/>
    </xf>
    <xf numFmtId="0" fontId="17" fillId="6" borderId="34" xfId="1" applyFont="1" applyFill="1" applyBorder="1" applyAlignment="1">
      <alignment horizontal="center" vertical="center" wrapText="1"/>
    </xf>
    <xf numFmtId="0" fontId="17" fillId="6" borderId="36" xfId="1" applyFont="1" applyFill="1" applyBorder="1" applyAlignment="1">
      <alignment horizontal="center" vertical="center" wrapText="1"/>
    </xf>
    <xf numFmtId="43" fontId="17" fillId="4" borderId="19" xfId="9" applyFont="1" applyFill="1" applyBorder="1" applyAlignment="1">
      <alignment horizontal="center" vertical="center" wrapText="1"/>
    </xf>
    <xf numFmtId="43" fontId="17" fillId="4" borderId="20" xfId="9" applyFont="1" applyFill="1" applyBorder="1" applyAlignment="1">
      <alignment horizontal="center" vertical="center" wrapText="1"/>
    </xf>
    <xf numFmtId="43" fontId="17" fillId="4" borderId="22" xfId="9" applyFont="1" applyFill="1" applyBorder="1" applyAlignment="1">
      <alignment horizontal="center" vertical="center" wrapText="1"/>
    </xf>
    <xf numFmtId="4" fontId="17" fillId="4" borderId="16" xfId="1" applyNumberFormat="1" applyFont="1" applyFill="1" applyBorder="1" applyAlignment="1">
      <alignment horizontal="center" vertical="center" wrapText="1"/>
    </xf>
    <xf numFmtId="4" fontId="17" fillId="4" borderId="19" xfId="1" applyNumberFormat="1" applyFont="1" applyFill="1" applyBorder="1" applyAlignment="1">
      <alignment horizontal="center" vertical="center" wrapText="1"/>
    </xf>
    <xf numFmtId="0" fontId="17" fillId="4" borderId="16" xfId="3" applyNumberFormat="1" applyFont="1" applyFill="1" applyBorder="1" applyAlignment="1">
      <alignment horizontal="left" vertical="center" wrapText="1"/>
    </xf>
    <xf numFmtId="4" fontId="17" fillId="4" borderId="20" xfId="1" applyNumberFormat="1" applyFont="1" applyFill="1" applyBorder="1" applyAlignment="1">
      <alignment horizontal="center" vertical="center" wrapText="1"/>
    </xf>
    <xf numFmtId="4" fontId="17" fillId="4" borderId="22" xfId="1" applyNumberFormat="1" applyFont="1" applyFill="1" applyBorder="1" applyAlignment="1">
      <alignment horizontal="center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8" xfId="3" applyNumberFormat="1" applyFont="1" applyFill="1" applyBorder="1" applyAlignment="1">
      <alignment horizontal="center" vertical="center" wrapText="1"/>
    </xf>
    <xf numFmtId="0" fontId="17" fillId="3" borderId="6" xfId="3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4" fontId="21" fillId="5" borderId="11" xfId="0" applyNumberFormat="1" applyFont="1" applyFill="1" applyBorder="1" applyAlignment="1">
      <alignment horizontal="right" vertical="center" wrapText="1"/>
    </xf>
    <xf numFmtId="4" fontId="21" fillId="5" borderId="12" xfId="0" applyNumberFormat="1" applyFont="1" applyFill="1" applyBorder="1" applyAlignment="1">
      <alignment horizontal="right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4" fontId="17" fillId="5" borderId="11" xfId="0" applyNumberFormat="1" applyFont="1" applyFill="1" applyBorder="1" applyAlignment="1">
      <alignment horizontal="right" vertical="center" wrapText="1"/>
    </xf>
    <xf numFmtId="4" fontId="17" fillId="5" borderId="12" xfId="0" applyNumberFormat="1" applyFont="1" applyFill="1" applyBorder="1" applyAlignment="1">
      <alignment horizontal="right" vertical="center" wrapText="1"/>
    </xf>
    <xf numFmtId="0" fontId="21" fillId="5" borderId="12" xfId="0" applyFont="1" applyFill="1" applyBorder="1" applyAlignment="1">
      <alignment horizontal="right" vertical="center" wrapText="1"/>
    </xf>
    <xf numFmtId="0" fontId="18" fillId="5" borderId="0" xfId="0" applyFont="1" applyFill="1" applyAlignment="1">
      <alignment vertical="center"/>
    </xf>
    <xf numFmtId="164" fontId="19" fillId="5" borderId="0" xfId="0" applyNumberFormat="1" applyFont="1" applyFill="1"/>
    <xf numFmtId="0" fontId="19" fillId="5" borderId="0" xfId="0" applyFont="1" applyFill="1"/>
    <xf numFmtId="0" fontId="18" fillId="5" borderId="0" xfId="0" applyFont="1" applyFill="1" applyAlignment="1">
      <alignment vertical="center" wrapText="1"/>
    </xf>
    <xf numFmtId="0" fontId="19" fillId="5" borderId="0" xfId="0" applyFont="1" applyFill="1" applyAlignment="1">
      <alignment vertical="center" wrapText="1"/>
    </xf>
    <xf numFmtId="0" fontId="19" fillId="5" borderId="31" xfId="0" applyFont="1" applyFill="1" applyBorder="1" applyAlignment="1">
      <alignment vertical="center" wrapText="1"/>
    </xf>
    <xf numFmtId="4" fontId="17" fillId="5" borderId="32" xfId="0" applyNumberFormat="1" applyFont="1" applyFill="1" applyBorder="1" applyAlignment="1">
      <alignment horizontal="right" vertical="center" wrapText="1"/>
    </xf>
    <xf numFmtId="4" fontId="17" fillId="5" borderId="5" xfId="0" applyNumberFormat="1" applyFont="1" applyFill="1" applyBorder="1" applyAlignment="1">
      <alignment horizontal="right" vertical="center" wrapText="1"/>
    </xf>
    <xf numFmtId="0" fontId="18" fillId="0" borderId="32" xfId="1" applyFont="1" applyFill="1" applyBorder="1" applyAlignment="1">
      <alignment horizontal="center" vertical="center"/>
    </xf>
    <xf numFmtId="0" fontId="18" fillId="0" borderId="33" xfId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/>
    </xf>
    <xf numFmtId="2" fontId="17" fillId="3" borderId="19" xfId="1" applyNumberFormat="1" applyFont="1" applyFill="1" applyBorder="1" applyAlignment="1">
      <alignment horizontal="center" vertical="center" wrapText="1"/>
    </xf>
    <xf numFmtId="2" fontId="17" fillId="3" borderId="20" xfId="1" applyNumberFormat="1" applyFont="1" applyFill="1" applyBorder="1" applyAlignment="1">
      <alignment horizontal="center" vertical="center" wrapText="1"/>
    </xf>
    <xf numFmtId="2" fontId="17" fillId="3" borderId="22" xfId="1" applyNumberFormat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8" xfId="1" applyFont="1" applyFill="1" applyBorder="1" applyAlignment="1">
      <alignment horizontal="center" vertical="center" wrapText="1"/>
    </xf>
    <xf numFmtId="0" fontId="17" fillId="2" borderId="39" xfId="1" applyFont="1" applyFill="1" applyBorder="1" applyAlignment="1">
      <alignment horizontal="center" vertical="center" wrapText="1"/>
    </xf>
    <xf numFmtId="0" fontId="17" fillId="2" borderId="40" xfId="1" applyFont="1" applyFill="1" applyBorder="1" applyAlignment="1">
      <alignment horizontal="center" vertical="center" wrapText="1"/>
    </xf>
    <xf numFmtId="0" fontId="17" fillId="2" borderId="41" xfId="1" applyFont="1" applyFill="1" applyBorder="1" applyAlignment="1">
      <alignment horizontal="center" vertical="center" wrapText="1"/>
    </xf>
    <xf numFmtId="4" fontId="17" fillId="2" borderId="13" xfId="1" applyNumberFormat="1" applyFont="1" applyFill="1" applyBorder="1" applyAlignment="1">
      <alignment horizontal="center" vertical="center" wrapText="1"/>
    </xf>
    <xf numFmtId="2" fontId="17" fillId="4" borderId="13" xfId="1" applyNumberFormat="1" applyFont="1" applyFill="1" applyBorder="1" applyAlignment="1">
      <alignment horizontal="center" vertical="center" wrapText="1"/>
    </xf>
    <xf numFmtId="2" fontId="17" fillId="0" borderId="13" xfId="1" applyNumberFormat="1" applyFont="1" applyFill="1" applyBorder="1" applyAlignment="1">
      <alignment horizontal="center" vertical="center" wrapText="1"/>
    </xf>
    <xf numFmtId="164" fontId="22" fillId="0" borderId="16" xfId="1" applyNumberFormat="1" applyFont="1" applyFill="1" applyBorder="1" applyAlignment="1">
      <alignment horizontal="center" vertical="center" wrapText="1"/>
    </xf>
    <xf numFmtId="4" fontId="22" fillId="0" borderId="16" xfId="1" applyNumberFormat="1" applyFont="1" applyFill="1" applyBorder="1" applyAlignment="1">
      <alignment horizontal="center" vertical="center" wrapText="1"/>
    </xf>
    <xf numFmtId="4" fontId="22" fillId="0" borderId="7" xfId="1" applyNumberFormat="1" applyFont="1" applyFill="1" applyBorder="1" applyAlignment="1">
      <alignment horizontal="center" vertical="center" wrapText="1"/>
    </xf>
    <xf numFmtId="164" fontId="22" fillId="0" borderId="7" xfId="1" applyNumberFormat="1" applyFont="1" applyFill="1" applyBorder="1" applyAlignment="1">
      <alignment horizontal="center" vertical="center" wrapText="1"/>
    </xf>
    <xf numFmtId="4" fontId="22" fillId="0" borderId="10" xfId="1" applyNumberFormat="1" applyFont="1" applyFill="1" applyBorder="1" applyAlignment="1">
      <alignment horizontal="center" vertical="center" wrapText="1"/>
    </xf>
    <xf numFmtId="167" fontId="17" fillId="0" borderId="16" xfId="1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10" xfId="4"/>
    <cellStyle name="Обычный 2 2" xfId="2"/>
    <cellStyle name="Обычный 29" xfId="5"/>
    <cellStyle name="Обычный 3" xfId="6"/>
    <cellStyle name="Обычный 4" xfId="7"/>
    <cellStyle name="Обычный 5" xfId="8"/>
    <cellStyle name="Обычный_Бизнес-план 2005 г. (РВК)1 экспериментальн 2 со 2 квартала_1" xfId="3"/>
    <cellStyle name="Финансовый" xfId="9" builtinId="3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K326"/>
  <sheetViews>
    <sheetView tabSelected="1" view="pageBreakPreview" topLeftCell="A298" zoomScale="70" zoomScaleNormal="85" zoomScaleSheetLayoutView="70" zoomScalePageLayoutView="40" workbookViewId="0">
      <selection activeCell="C294" sqref="C294"/>
    </sheetView>
  </sheetViews>
  <sheetFormatPr defaultColWidth="9.140625" defaultRowHeight="15" x14ac:dyDescent="0.25"/>
  <cols>
    <col min="1" max="1" width="41.7109375" style="6" customWidth="1"/>
    <col min="2" max="2" width="26.4257812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20.28515625" style="1" customWidth="1"/>
    <col min="7" max="7" width="14.42578125" style="1" customWidth="1"/>
    <col min="8" max="8" width="17.85546875" style="1" customWidth="1"/>
    <col min="9" max="9" width="17.140625" style="1" customWidth="1"/>
    <col min="10" max="10" width="15.7109375" style="12" customWidth="1"/>
    <col min="11" max="11" width="20.7109375" style="5" customWidth="1"/>
    <col min="12" max="16384" width="9.140625" style="5"/>
  </cols>
  <sheetData>
    <row r="1" spans="1:10" x14ac:dyDescent="0.25">
      <c r="A1" s="1"/>
      <c r="F1" s="2"/>
      <c r="G1" s="3"/>
      <c r="H1" s="4"/>
      <c r="I1" s="3"/>
      <c r="J1" s="3"/>
    </row>
    <row r="2" spans="1:10" ht="15.75" x14ac:dyDescent="0.25">
      <c r="A2" s="465" t="s">
        <v>0</v>
      </c>
      <c r="B2" s="465"/>
      <c r="C2" s="465"/>
      <c r="D2" s="465"/>
      <c r="E2" s="465"/>
      <c r="F2" s="465"/>
      <c r="G2" s="465"/>
      <c r="H2" s="465"/>
      <c r="I2" s="465"/>
      <c r="J2" s="465"/>
    </row>
    <row r="3" spans="1:10" ht="15.75" x14ac:dyDescent="0.25">
      <c r="A3" s="466" t="s">
        <v>1</v>
      </c>
      <c r="B3" s="466"/>
      <c r="C3" s="466"/>
      <c r="D3" s="466"/>
      <c r="E3" s="466"/>
      <c r="F3" s="466"/>
      <c r="G3" s="466"/>
      <c r="H3" s="466"/>
      <c r="I3" s="466"/>
      <c r="J3" s="466"/>
    </row>
    <row r="4" spans="1:10" ht="15.75" x14ac:dyDescent="0.25">
      <c r="A4" s="467" t="s">
        <v>299</v>
      </c>
      <c r="B4" s="467"/>
      <c r="C4" s="467"/>
      <c r="D4" s="467"/>
      <c r="E4" s="467"/>
      <c r="F4" s="467"/>
      <c r="G4" s="467"/>
      <c r="H4" s="467"/>
      <c r="I4" s="467"/>
      <c r="J4" s="467"/>
    </row>
    <row r="5" spans="1:10" ht="16.5" thickBot="1" x14ac:dyDescent="0.3">
      <c r="A5" s="245"/>
      <c r="B5" s="245"/>
      <c r="C5" s="245"/>
      <c r="D5" s="245"/>
      <c r="E5" s="245"/>
      <c r="F5" s="245"/>
      <c r="G5" s="245"/>
      <c r="H5" s="245"/>
      <c r="I5" s="245"/>
      <c r="J5" s="7"/>
    </row>
    <row r="6" spans="1:10" ht="15.75" x14ac:dyDescent="0.25">
      <c r="A6" s="468" t="s">
        <v>2</v>
      </c>
      <c r="B6" s="470" t="s">
        <v>3</v>
      </c>
      <c r="C6" s="471"/>
      <c r="D6" s="472" t="s">
        <v>4</v>
      </c>
      <c r="E6" s="472" t="s">
        <v>5</v>
      </c>
      <c r="F6" s="474" t="s">
        <v>6</v>
      </c>
      <c r="G6" s="475"/>
      <c r="H6" s="476" t="s">
        <v>7</v>
      </c>
      <c r="I6" s="478" t="s">
        <v>8</v>
      </c>
      <c r="J6" s="479"/>
    </row>
    <row r="7" spans="1:10" ht="32.25" thickBot="1" x14ac:dyDescent="0.3">
      <c r="A7" s="469"/>
      <c r="B7" s="8" t="s">
        <v>9</v>
      </c>
      <c r="C7" s="8" t="s">
        <v>10</v>
      </c>
      <c r="D7" s="473"/>
      <c r="E7" s="473"/>
      <c r="F7" s="9" t="s">
        <v>11</v>
      </c>
      <c r="G7" s="10" t="s">
        <v>12</v>
      </c>
      <c r="H7" s="477"/>
      <c r="I7" s="9" t="s">
        <v>11</v>
      </c>
      <c r="J7" s="11" t="s">
        <v>12</v>
      </c>
    </row>
    <row r="8" spans="1:10" ht="16.5" thickBot="1" x14ac:dyDescent="0.3">
      <c r="A8" s="480" t="s">
        <v>13</v>
      </c>
      <c r="B8" s="481"/>
      <c r="C8" s="481"/>
      <c r="D8" s="481"/>
      <c r="E8" s="481"/>
      <c r="F8" s="481"/>
      <c r="G8" s="481"/>
      <c r="H8" s="481"/>
      <c r="I8" s="481"/>
      <c r="J8" s="482"/>
    </row>
    <row r="9" spans="1:10" x14ac:dyDescent="0.25">
      <c r="A9" s="385" t="s">
        <v>300</v>
      </c>
      <c r="B9" s="438" t="s">
        <v>304</v>
      </c>
      <c r="C9" s="438" t="s">
        <v>302</v>
      </c>
      <c r="D9" s="420">
        <f>1286965.59/1000</f>
        <v>1286.96559</v>
      </c>
      <c r="E9" s="420">
        <f>G9</f>
        <v>12.34919</v>
      </c>
      <c r="F9" s="438" t="s">
        <v>303</v>
      </c>
      <c r="G9" s="539">
        <f>12349.19/1000</f>
        <v>12.34919</v>
      </c>
      <c r="H9" s="420"/>
      <c r="I9" s="438"/>
      <c r="J9" s="457"/>
    </row>
    <row r="10" spans="1:10" x14ac:dyDescent="0.25">
      <c r="A10" s="386"/>
      <c r="B10" s="364"/>
      <c r="C10" s="364"/>
      <c r="D10" s="421"/>
      <c r="E10" s="421"/>
      <c r="F10" s="364"/>
      <c r="G10" s="437"/>
      <c r="H10" s="364"/>
      <c r="I10" s="364"/>
      <c r="J10" s="458"/>
    </row>
    <row r="11" spans="1:10" ht="28.5" x14ac:dyDescent="0.25">
      <c r="A11" s="386"/>
      <c r="B11" s="341" t="s">
        <v>306</v>
      </c>
      <c r="C11" s="341" t="s">
        <v>305</v>
      </c>
      <c r="D11" s="343">
        <f>3670300/1000</f>
        <v>3670.3</v>
      </c>
      <c r="E11" s="343">
        <f>G11</f>
        <v>1606</v>
      </c>
      <c r="F11" s="341" t="s">
        <v>311</v>
      </c>
      <c r="G11" s="341">
        <f>1606000/1000</f>
        <v>1606</v>
      </c>
      <c r="H11" s="225"/>
      <c r="I11" s="225"/>
      <c r="J11" s="247"/>
    </row>
    <row r="12" spans="1:10" ht="28.5" x14ac:dyDescent="0.25">
      <c r="A12" s="386"/>
      <c r="B12" s="341" t="s">
        <v>308</v>
      </c>
      <c r="C12" s="341" t="s">
        <v>266</v>
      </c>
      <c r="D12" s="343">
        <f>8817712.56/1000</f>
        <v>8817.7125599999999</v>
      </c>
      <c r="E12" s="343">
        <f>G12</f>
        <v>1521.30395</v>
      </c>
      <c r="F12" s="341" t="s">
        <v>309</v>
      </c>
      <c r="G12" s="358">
        <f>1521303.95/1000</f>
        <v>1521.30395</v>
      </c>
      <c r="H12" s="225"/>
      <c r="I12" s="225"/>
      <c r="J12" s="247"/>
    </row>
    <row r="13" spans="1:10" ht="28.5" x14ac:dyDescent="0.25">
      <c r="A13" s="386"/>
      <c r="B13" s="297" t="s">
        <v>406</v>
      </c>
      <c r="C13" s="341" t="s">
        <v>408</v>
      </c>
      <c r="D13" s="358">
        <f>9507666.77/1000</f>
        <v>9507.6667699999998</v>
      </c>
      <c r="E13" s="343"/>
      <c r="F13" s="341"/>
      <c r="G13" s="341"/>
      <c r="H13" s="228">
        <f>J13</f>
        <v>1356.5876254</v>
      </c>
      <c r="I13" s="225" t="s">
        <v>407</v>
      </c>
      <c r="J13" s="247">
        <f>1149650.53*1.18/1000</f>
        <v>1356.5876254</v>
      </c>
    </row>
    <row r="14" spans="1:10" ht="15.75" thickBot="1" x14ac:dyDescent="0.3">
      <c r="A14" s="387"/>
      <c r="B14" s="432" t="s">
        <v>485</v>
      </c>
      <c r="C14" s="432"/>
      <c r="D14" s="300"/>
      <c r="E14" s="349"/>
      <c r="F14" s="348"/>
      <c r="G14" s="348"/>
      <c r="H14" s="229">
        <f>J14</f>
        <v>60.805541599999998</v>
      </c>
      <c r="I14" s="230" t="s">
        <v>251</v>
      </c>
      <c r="J14" s="252">
        <f>51530.12*1.18/1000</f>
        <v>60.805541599999998</v>
      </c>
    </row>
    <row r="15" spans="1:10" x14ac:dyDescent="0.25">
      <c r="A15" s="385" t="s">
        <v>301</v>
      </c>
      <c r="B15" s="438" t="s">
        <v>304</v>
      </c>
      <c r="C15" s="438" t="s">
        <v>302</v>
      </c>
      <c r="D15" s="420">
        <f>1286965.59/1000</f>
        <v>1286.96559</v>
      </c>
      <c r="E15" s="420">
        <f>G15</f>
        <v>7.0566800000000001</v>
      </c>
      <c r="F15" s="438" t="s">
        <v>310</v>
      </c>
      <c r="G15" s="539">
        <f>7056.68/1000</f>
        <v>7.0566800000000001</v>
      </c>
      <c r="H15" s="420"/>
      <c r="I15" s="438"/>
      <c r="J15" s="457"/>
    </row>
    <row r="16" spans="1:10" x14ac:dyDescent="0.25">
      <c r="A16" s="386"/>
      <c r="B16" s="364"/>
      <c r="C16" s="364"/>
      <c r="D16" s="421"/>
      <c r="E16" s="421"/>
      <c r="F16" s="364"/>
      <c r="G16" s="437"/>
      <c r="H16" s="364"/>
      <c r="I16" s="364"/>
      <c r="J16" s="458"/>
    </row>
    <row r="17" spans="1:11" ht="28.5" x14ac:dyDescent="0.25">
      <c r="A17" s="386"/>
      <c r="B17" s="341" t="s">
        <v>306</v>
      </c>
      <c r="C17" s="341" t="s">
        <v>305</v>
      </c>
      <c r="D17" s="343">
        <f>3670300/1000</f>
        <v>3670.3</v>
      </c>
      <c r="E17" s="343">
        <f>G17</f>
        <v>2064.3000000000002</v>
      </c>
      <c r="F17" s="341" t="s">
        <v>307</v>
      </c>
      <c r="G17" s="358">
        <f>2064300/1000</f>
        <v>2064.3000000000002</v>
      </c>
      <c r="H17" s="225"/>
      <c r="I17" s="225"/>
      <c r="J17" s="247"/>
    </row>
    <row r="18" spans="1:11" ht="28.5" x14ac:dyDescent="0.25">
      <c r="A18" s="386"/>
      <c r="B18" s="341" t="s">
        <v>308</v>
      </c>
      <c r="C18" s="341" t="s">
        <v>266</v>
      </c>
      <c r="D18" s="343">
        <f>8817712.56/1000</f>
        <v>8817.7125599999999</v>
      </c>
      <c r="E18" s="343">
        <f>G18</f>
        <v>776.98739</v>
      </c>
      <c r="F18" s="341" t="s">
        <v>312</v>
      </c>
      <c r="G18" s="358">
        <f>776987.39/1000</f>
        <v>776.98739</v>
      </c>
      <c r="H18" s="225"/>
      <c r="I18" s="225"/>
      <c r="J18" s="247"/>
    </row>
    <row r="19" spans="1:11" ht="29.25" thickBot="1" x14ac:dyDescent="0.3">
      <c r="A19" s="387"/>
      <c r="B19" s="348" t="s">
        <v>232</v>
      </c>
      <c r="C19" s="348" t="s">
        <v>233</v>
      </c>
      <c r="D19" s="349"/>
      <c r="E19" s="349">
        <f>G19</f>
        <v>1605.1475453999999</v>
      </c>
      <c r="F19" s="348" t="s">
        <v>528</v>
      </c>
      <c r="G19" s="298">
        <v>1605.1475453999999</v>
      </c>
      <c r="H19" s="298">
        <f>J19</f>
        <v>0</v>
      </c>
      <c r="I19" s="230"/>
      <c r="J19" s="299"/>
    </row>
    <row r="20" spans="1:11" x14ac:dyDescent="0.25">
      <c r="A20" s="425" t="s">
        <v>221</v>
      </c>
      <c r="B20" s="366" t="s">
        <v>86</v>
      </c>
      <c r="C20" s="366" t="s">
        <v>222</v>
      </c>
      <c r="D20" s="363">
        <f>4452500/1000</f>
        <v>4452.5</v>
      </c>
      <c r="E20" s="363" t="str">
        <f>G20</f>
        <v>-</v>
      </c>
      <c r="F20" s="366"/>
      <c r="G20" s="380" t="s">
        <v>251</v>
      </c>
      <c r="H20" s="363">
        <f>J20</f>
        <v>1449.8873108</v>
      </c>
      <c r="I20" s="366" t="s">
        <v>240</v>
      </c>
      <c r="J20" s="455">
        <v>1449.8873108</v>
      </c>
    </row>
    <row r="21" spans="1:11" ht="46.5" customHeight="1" thickBot="1" x14ac:dyDescent="0.3">
      <c r="A21" s="387"/>
      <c r="B21" s="432"/>
      <c r="C21" s="432"/>
      <c r="D21" s="436"/>
      <c r="E21" s="436"/>
      <c r="F21" s="432"/>
      <c r="G21" s="405"/>
      <c r="H21" s="432"/>
      <c r="I21" s="432"/>
      <c r="J21" s="456"/>
    </row>
    <row r="22" spans="1:11" s="6" customFormat="1" ht="28.5" x14ac:dyDescent="0.25">
      <c r="A22" s="385" t="s">
        <v>14</v>
      </c>
      <c r="B22" s="438" t="s">
        <v>15</v>
      </c>
      <c r="C22" s="438" t="s">
        <v>16</v>
      </c>
      <c r="D22" s="420">
        <f>17859290*1.18/1000</f>
        <v>21073.962199999998</v>
      </c>
      <c r="E22" s="420">
        <f>SUM(G22:G23)</f>
        <v>21073.962199999998</v>
      </c>
      <c r="F22" s="231" t="s">
        <v>529</v>
      </c>
      <c r="G22" s="342">
        <f>18035178.41/1000</f>
        <v>18035.17841</v>
      </c>
      <c r="H22" s="236">
        <f>SUM(J22:J22)</f>
        <v>0</v>
      </c>
      <c r="I22" s="231" t="s">
        <v>18</v>
      </c>
      <c r="J22" s="246" t="s">
        <v>18</v>
      </c>
    </row>
    <row r="23" spans="1:11" s="6" customFormat="1" ht="29.25" thickBot="1" x14ac:dyDescent="0.3">
      <c r="A23" s="387"/>
      <c r="B23" s="432"/>
      <c r="C23" s="432"/>
      <c r="D23" s="436"/>
      <c r="E23" s="436"/>
      <c r="F23" s="183" t="s">
        <v>211</v>
      </c>
      <c r="G23" s="349">
        <v>3038.7837899999977</v>
      </c>
      <c r="H23" s="229">
        <f>SUM(J23:J23)</f>
        <v>0</v>
      </c>
      <c r="I23" s="183" t="s">
        <v>18</v>
      </c>
      <c r="J23" s="252" t="s">
        <v>18</v>
      </c>
      <c r="K23" s="332"/>
    </row>
    <row r="24" spans="1:11" s="6" customFormat="1" ht="57.75" thickBot="1" x14ac:dyDescent="0.3">
      <c r="A24" s="22" t="s">
        <v>19</v>
      </c>
      <c r="B24" s="23" t="s">
        <v>15</v>
      </c>
      <c r="C24" s="23" t="s">
        <v>20</v>
      </c>
      <c r="D24" s="24">
        <f>10176490*1.18/1000</f>
        <v>12008.258199999998</v>
      </c>
      <c r="E24" s="24">
        <f>SUM(G24:G24)</f>
        <v>12008.258199999998</v>
      </c>
      <c r="F24" s="25" t="s">
        <v>529</v>
      </c>
      <c r="G24" s="24">
        <f>12008258.2/1000</f>
        <v>12008.258199999998</v>
      </c>
      <c r="H24" s="24">
        <f>SUM(J24:J24)</f>
        <v>0</v>
      </c>
      <c r="I24" s="25" t="s">
        <v>18</v>
      </c>
      <c r="J24" s="26" t="s">
        <v>18</v>
      </c>
    </row>
    <row r="25" spans="1:11" s="6" customFormat="1" ht="57.75" thickBot="1" x14ac:dyDescent="0.3">
      <c r="A25" s="27" t="s">
        <v>21</v>
      </c>
      <c r="B25" s="23" t="s">
        <v>15</v>
      </c>
      <c r="C25" s="23" t="s">
        <v>20</v>
      </c>
      <c r="D25" s="24">
        <f>14884895*1.18/1000</f>
        <v>17564.176099999997</v>
      </c>
      <c r="E25" s="24">
        <f>SUM(G25:G25)</f>
        <v>17564.176100000001</v>
      </c>
      <c r="F25" s="25" t="s">
        <v>529</v>
      </c>
      <c r="G25" s="24">
        <f>17564176.1/1000</f>
        <v>17564.176100000001</v>
      </c>
      <c r="H25" s="24">
        <f>SUM(J25:J25)</f>
        <v>0</v>
      </c>
      <c r="I25" s="25" t="s">
        <v>18</v>
      </c>
      <c r="J25" s="26" t="s">
        <v>18</v>
      </c>
    </row>
    <row r="26" spans="1:11" s="6" customFormat="1" ht="42.75" customHeight="1" x14ac:dyDescent="0.25">
      <c r="A26" s="379" t="s">
        <v>22</v>
      </c>
      <c r="B26" s="438" t="s">
        <v>23</v>
      </c>
      <c r="C26" s="438" t="s">
        <v>24</v>
      </c>
      <c r="D26" s="420">
        <f>1100000/1000</f>
        <v>1100</v>
      </c>
      <c r="E26" s="420">
        <f>SUM(G26:G28)</f>
        <v>1100</v>
      </c>
      <c r="F26" s="231" t="s">
        <v>530</v>
      </c>
      <c r="G26" s="342">
        <v>1100</v>
      </c>
      <c r="H26" s="420">
        <f>J26+J27+J28</f>
        <v>1099.9999883999999</v>
      </c>
      <c r="I26" s="231" t="s">
        <v>25</v>
      </c>
      <c r="J26" s="246">
        <f>351196.6268/1000</f>
        <v>351.19662680000005</v>
      </c>
    </row>
    <row r="27" spans="1:11" s="6" customFormat="1" ht="28.5" x14ac:dyDescent="0.25">
      <c r="A27" s="369"/>
      <c r="B27" s="364"/>
      <c r="C27" s="364"/>
      <c r="D27" s="421"/>
      <c r="E27" s="421"/>
      <c r="F27" s="357" t="s">
        <v>251</v>
      </c>
      <c r="G27" s="343" t="s">
        <v>251</v>
      </c>
      <c r="H27" s="421"/>
      <c r="I27" s="214" t="s">
        <v>155</v>
      </c>
      <c r="J27" s="247">
        <v>299.52134699999993</v>
      </c>
    </row>
    <row r="28" spans="1:11" s="6" customFormat="1" ht="28.5" x14ac:dyDescent="0.25">
      <c r="A28" s="369"/>
      <c r="B28" s="364"/>
      <c r="C28" s="364"/>
      <c r="D28" s="421"/>
      <c r="E28" s="421"/>
      <c r="F28" s="357" t="s">
        <v>251</v>
      </c>
      <c r="G28" s="343" t="s">
        <v>251</v>
      </c>
      <c r="H28" s="421"/>
      <c r="I28" s="214" t="s">
        <v>171</v>
      </c>
      <c r="J28" s="247">
        <f>(380747.47/1000)*1.18</f>
        <v>449.28201459999991</v>
      </c>
    </row>
    <row r="29" spans="1:11" s="6" customFormat="1" ht="28.5" x14ac:dyDescent="0.25">
      <c r="A29" s="369"/>
      <c r="B29" s="364" t="s">
        <v>26</v>
      </c>
      <c r="C29" s="364" t="s">
        <v>27</v>
      </c>
      <c r="D29" s="421">
        <v>2740.83</v>
      </c>
      <c r="E29" s="421">
        <f>SUM(G29:G32)</f>
        <v>2589.3861000000002</v>
      </c>
      <c r="F29" s="357" t="s">
        <v>531</v>
      </c>
      <c r="G29" s="343">
        <f>737212.08/1000</f>
        <v>737.21208000000001</v>
      </c>
      <c r="H29" s="421">
        <f>SUM(J29:J32)</f>
        <v>915.86171999999988</v>
      </c>
      <c r="I29" s="214" t="s">
        <v>29</v>
      </c>
      <c r="J29" s="247">
        <v>253.22681999999998</v>
      </c>
    </row>
    <row r="30" spans="1:11" s="6" customFormat="1" x14ac:dyDescent="0.25">
      <c r="A30" s="369"/>
      <c r="B30" s="364"/>
      <c r="C30" s="364"/>
      <c r="D30" s="421"/>
      <c r="E30" s="421"/>
      <c r="F30" s="357" t="s">
        <v>618</v>
      </c>
      <c r="G30" s="343">
        <f>936312.3/1000</f>
        <v>936.31230000000005</v>
      </c>
      <c r="H30" s="421"/>
      <c r="I30" s="214" t="s">
        <v>18</v>
      </c>
      <c r="J30" s="247" t="s">
        <v>18</v>
      </c>
    </row>
    <row r="31" spans="1:11" s="6" customFormat="1" ht="35.25" customHeight="1" x14ac:dyDescent="0.25">
      <c r="A31" s="369"/>
      <c r="B31" s="364"/>
      <c r="C31" s="364"/>
      <c r="D31" s="421"/>
      <c r="E31" s="421"/>
      <c r="F31" s="357" t="s">
        <v>532</v>
      </c>
      <c r="G31" s="343">
        <v>253.22682</v>
      </c>
      <c r="H31" s="421"/>
      <c r="I31" s="214" t="s">
        <v>18</v>
      </c>
      <c r="J31" s="247" t="s">
        <v>18</v>
      </c>
    </row>
    <row r="32" spans="1:11" s="6" customFormat="1" ht="28.5" x14ac:dyDescent="0.25">
      <c r="A32" s="369"/>
      <c r="B32" s="364"/>
      <c r="C32" s="364"/>
      <c r="D32" s="421"/>
      <c r="E32" s="421"/>
      <c r="F32" s="357" t="s">
        <v>533</v>
      </c>
      <c r="G32" s="343">
        <f>662634.9/1000</f>
        <v>662.63490000000002</v>
      </c>
      <c r="H32" s="421"/>
      <c r="I32" s="214" t="s">
        <v>156</v>
      </c>
      <c r="J32" s="247">
        <v>662.6348999999999</v>
      </c>
    </row>
    <row r="33" spans="1:10" s="6" customFormat="1" ht="28.5" x14ac:dyDescent="0.25">
      <c r="A33" s="369"/>
      <c r="B33" s="341" t="s">
        <v>32</v>
      </c>
      <c r="C33" s="341" t="s">
        <v>33</v>
      </c>
      <c r="D33" s="343">
        <f>1652600/1000</f>
        <v>1652.6</v>
      </c>
      <c r="E33" s="343">
        <f t="shared" ref="E33:E39" si="0">G33</f>
        <v>1652.6</v>
      </c>
      <c r="F33" s="357" t="s">
        <v>534</v>
      </c>
      <c r="G33" s="343">
        <f>1652600/1000</f>
        <v>1652.6</v>
      </c>
      <c r="H33" s="228" t="str">
        <f>J33</f>
        <v>__</v>
      </c>
      <c r="I33" s="214" t="s">
        <v>18</v>
      </c>
      <c r="J33" s="247" t="s">
        <v>18</v>
      </c>
    </row>
    <row r="34" spans="1:10" s="6" customFormat="1" ht="28.5" x14ac:dyDescent="0.25">
      <c r="A34" s="369"/>
      <c r="B34" s="341" t="s">
        <v>196</v>
      </c>
      <c r="C34" s="341" t="s">
        <v>197</v>
      </c>
      <c r="D34" s="343">
        <v>98</v>
      </c>
      <c r="E34" s="343">
        <f t="shared" si="0"/>
        <v>98</v>
      </c>
      <c r="F34" s="357" t="s">
        <v>535</v>
      </c>
      <c r="G34" s="343">
        <v>98</v>
      </c>
      <c r="H34" s="228">
        <f>J34</f>
        <v>98.000002999999992</v>
      </c>
      <c r="I34" s="214" t="s">
        <v>207</v>
      </c>
      <c r="J34" s="247">
        <v>98.000002999999992</v>
      </c>
    </row>
    <row r="35" spans="1:10" s="6" customFormat="1" ht="28.5" x14ac:dyDescent="0.25">
      <c r="A35" s="369"/>
      <c r="B35" s="345" t="s">
        <v>346</v>
      </c>
      <c r="C35" s="345" t="s">
        <v>345</v>
      </c>
      <c r="D35" s="353">
        <f>2392346/1000</f>
        <v>2392.346</v>
      </c>
      <c r="E35" s="343">
        <f t="shared" si="0"/>
        <v>275.19600000000003</v>
      </c>
      <c r="F35" s="354" t="s">
        <v>361</v>
      </c>
      <c r="G35" s="353">
        <f>275196/1000</f>
        <v>275.19600000000003</v>
      </c>
      <c r="H35" s="228"/>
      <c r="I35" s="214"/>
      <c r="J35" s="247"/>
    </row>
    <row r="36" spans="1:10" s="6" customFormat="1" ht="28.5" x14ac:dyDescent="0.25">
      <c r="A36" s="369"/>
      <c r="B36" s="365" t="s">
        <v>308</v>
      </c>
      <c r="C36" s="424" t="s">
        <v>404</v>
      </c>
      <c r="D36" s="361">
        <f>4746523.23/1000</f>
        <v>4746.5232300000007</v>
      </c>
      <c r="E36" s="361">
        <f>G36+G37+G38</f>
        <v>2384.3176800000001</v>
      </c>
      <c r="F36" s="354" t="s">
        <v>362</v>
      </c>
      <c r="G36" s="353">
        <f>182291.69/1000</f>
        <v>182.29168999999999</v>
      </c>
      <c r="H36" s="228"/>
      <c r="I36" s="214"/>
      <c r="J36" s="247"/>
    </row>
    <row r="37" spans="1:10" s="6" customFormat="1" ht="28.5" x14ac:dyDescent="0.25">
      <c r="A37" s="369"/>
      <c r="B37" s="380"/>
      <c r="C37" s="416"/>
      <c r="D37" s="362"/>
      <c r="E37" s="362"/>
      <c r="F37" s="354" t="s">
        <v>363</v>
      </c>
      <c r="G37" s="353">
        <f>1518055.37/1000</f>
        <v>1518.05537</v>
      </c>
      <c r="H37" s="228"/>
      <c r="I37" s="214"/>
      <c r="J37" s="247"/>
    </row>
    <row r="38" spans="1:10" s="6" customFormat="1" ht="28.5" x14ac:dyDescent="0.25">
      <c r="A38" s="369"/>
      <c r="B38" s="366"/>
      <c r="C38" s="417"/>
      <c r="D38" s="363"/>
      <c r="E38" s="363"/>
      <c r="F38" s="354" t="s">
        <v>364</v>
      </c>
      <c r="G38" s="353">
        <f>683970.62/1000</f>
        <v>683.97061999999994</v>
      </c>
      <c r="H38" s="228"/>
      <c r="I38" s="214"/>
      <c r="J38" s="247"/>
    </row>
    <row r="39" spans="1:10" s="6" customFormat="1" ht="28.5" x14ac:dyDescent="0.25">
      <c r="A39" s="369"/>
      <c r="B39" s="345" t="s">
        <v>347</v>
      </c>
      <c r="C39" s="345" t="s">
        <v>405</v>
      </c>
      <c r="D39" s="353">
        <v>23.529599999999999</v>
      </c>
      <c r="E39" s="353">
        <f t="shared" si="0"/>
        <v>23.529599999999999</v>
      </c>
      <c r="F39" s="354" t="s">
        <v>348</v>
      </c>
      <c r="G39" s="353">
        <f>23529.6/1000</f>
        <v>23.529599999999999</v>
      </c>
      <c r="H39" s="228"/>
      <c r="I39" s="214"/>
      <c r="J39" s="247"/>
    </row>
    <row r="40" spans="1:10" s="6" customFormat="1" ht="28.5" x14ac:dyDescent="0.25">
      <c r="A40" s="369"/>
      <c r="B40" s="365" t="s">
        <v>26</v>
      </c>
      <c r="C40" s="365" t="s">
        <v>349</v>
      </c>
      <c r="D40" s="439">
        <f>16520704.92/1000</f>
        <v>16520.70492</v>
      </c>
      <c r="E40" s="439">
        <f>SUM(G40:G42)</f>
        <v>3629.6006500000003</v>
      </c>
      <c r="F40" s="354" t="s">
        <v>393</v>
      </c>
      <c r="G40" s="353">
        <f>830955.6/1000</f>
        <v>830.9556</v>
      </c>
      <c r="H40" s="228">
        <f>J40</f>
        <v>830.95559880000008</v>
      </c>
      <c r="I40" s="214" t="s">
        <v>411</v>
      </c>
      <c r="J40" s="247">
        <f>830955.5988/1000</f>
        <v>830.95559880000008</v>
      </c>
    </row>
    <row r="41" spans="1:10" s="6" customFormat="1" ht="28.5" x14ac:dyDescent="0.25">
      <c r="A41" s="369"/>
      <c r="B41" s="380"/>
      <c r="C41" s="380"/>
      <c r="D41" s="440"/>
      <c r="E41" s="440"/>
      <c r="F41" s="354" t="s">
        <v>350</v>
      </c>
      <c r="G41" s="353">
        <f>412443.91/1000</f>
        <v>412.44390999999996</v>
      </c>
      <c r="H41" s="228">
        <f>J41</f>
        <v>412.4439132</v>
      </c>
      <c r="I41" s="214" t="s">
        <v>428</v>
      </c>
      <c r="J41" s="247">
        <f>412443.9132/1000</f>
        <v>412.4439132</v>
      </c>
    </row>
    <row r="42" spans="1:10" s="6" customFormat="1" ht="28.5" x14ac:dyDescent="0.25">
      <c r="A42" s="369"/>
      <c r="B42" s="380"/>
      <c r="C42" s="380"/>
      <c r="D42" s="440"/>
      <c r="E42" s="440"/>
      <c r="F42" s="354" t="s">
        <v>351</v>
      </c>
      <c r="G42" s="353">
        <f>2386201.14/1000</f>
        <v>2386.2011400000001</v>
      </c>
      <c r="H42" s="228">
        <f>J42</f>
        <v>2386.2011447999998</v>
      </c>
      <c r="I42" s="214" t="s">
        <v>429</v>
      </c>
      <c r="J42" s="247">
        <f>2386201.1448/1000</f>
        <v>2386.2011447999998</v>
      </c>
    </row>
    <row r="43" spans="1:10" s="6" customFormat="1" ht="28.5" x14ac:dyDescent="0.25">
      <c r="A43" s="369"/>
      <c r="B43" s="366"/>
      <c r="C43" s="366"/>
      <c r="D43" s="441"/>
      <c r="E43" s="441"/>
      <c r="F43" s="354"/>
      <c r="G43" s="353"/>
      <c r="H43" s="228">
        <f>J43</f>
        <v>2301.142957</v>
      </c>
      <c r="I43" s="214" t="s">
        <v>473</v>
      </c>
      <c r="J43" s="247">
        <f>2301142.957/1000</f>
        <v>2301.142957</v>
      </c>
    </row>
    <row r="44" spans="1:10" s="6" customFormat="1" x14ac:dyDescent="0.25">
      <c r="A44" s="369"/>
      <c r="B44" s="364" t="s">
        <v>515</v>
      </c>
      <c r="C44" s="364"/>
      <c r="D44" s="343" t="s">
        <v>18</v>
      </c>
      <c r="E44" s="343" t="str">
        <f t="shared" ref="E44:E48" si="1">G44</f>
        <v>__</v>
      </c>
      <c r="F44" s="357" t="s">
        <v>18</v>
      </c>
      <c r="G44" s="343" t="s">
        <v>18</v>
      </c>
      <c r="H44" s="228">
        <f t="shared" ref="H44:H49" si="2">J44</f>
        <v>66.934614999999994</v>
      </c>
      <c r="I44" s="214" t="s">
        <v>18</v>
      </c>
      <c r="J44" s="247">
        <v>66.934614999999994</v>
      </c>
    </row>
    <row r="45" spans="1:10" s="6" customFormat="1" x14ac:dyDescent="0.25">
      <c r="A45" s="369"/>
      <c r="B45" s="364" t="s">
        <v>383</v>
      </c>
      <c r="C45" s="364"/>
      <c r="D45" s="343" t="s">
        <v>18</v>
      </c>
      <c r="E45" s="343" t="str">
        <f t="shared" si="1"/>
        <v>__</v>
      </c>
      <c r="F45" s="357" t="s">
        <v>18</v>
      </c>
      <c r="G45" s="343" t="s">
        <v>18</v>
      </c>
      <c r="H45" s="228">
        <f t="shared" si="2"/>
        <v>438.09044620000003</v>
      </c>
      <c r="I45" s="214" t="s">
        <v>18</v>
      </c>
      <c r="J45" s="228">
        <f>438090.4462/1000</f>
        <v>438.09044620000003</v>
      </c>
    </row>
    <row r="46" spans="1:10" s="6" customFormat="1" x14ac:dyDescent="0.25">
      <c r="A46" s="369"/>
      <c r="B46" s="364" t="s">
        <v>394</v>
      </c>
      <c r="C46" s="364"/>
      <c r="D46" s="343" t="s">
        <v>18</v>
      </c>
      <c r="E46" s="343" t="str">
        <f t="shared" si="1"/>
        <v>__</v>
      </c>
      <c r="F46" s="357" t="s">
        <v>18</v>
      </c>
      <c r="G46" s="343" t="s">
        <v>18</v>
      </c>
      <c r="H46" s="228">
        <f t="shared" si="2"/>
        <v>1864.7448196</v>
      </c>
      <c r="I46" s="214" t="s">
        <v>18</v>
      </c>
      <c r="J46" s="107">
        <f>1864744.8196/1000</f>
        <v>1864.7448196</v>
      </c>
    </row>
    <row r="47" spans="1:10" s="6" customFormat="1" x14ac:dyDescent="0.25">
      <c r="A47" s="369"/>
      <c r="B47" s="364" t="s">
        <v>439</v>
      </c>
      <c r="C47" s="364"/>
      <c r="D47" s="343" t="s">
        <v>18</v>
      </c>
      <c r="E47" s="343" t="str">
        <f t="shared" si="1"/>
        <v>__</v>
      </c>
      <c r="F47" s="357" t="s">
        <v>18</v>
      </c>
      <c r="G47" s="343" t="s">
        <v>18</v>
      </c>
      <c r="H47" s="232">
        <f t="shared" si="2"/>
        <v>615.45611640000004</v>
      </c>
      <c r="I47" s="214" t="s">
        <v>18</v>
      </c>
      <c r="J47" s="107">
        <f>615456.1164/1000</f>
        <v>615.45611640000004</v>
      </c>
    </row>
    <row r="48" spans="1:10" s="6" customFormat="1" ht="29.25" thickBot="1" x14ac:dyDescent="0.3">
      <c r="A48" s="370"/>
      <c r="B48" s="348" t="s">
        <v>232</v>
      </c>
      <c r="C48" s="348" t="s">
        <v>233</v>
      </c>
      <c r="D48" s="349"/>
      <c r="E48" s="349">
        <f t="shared" si="1"/>
        <v>1152.7524076</v>
      </c>
      <c r="F48" s="183" t="s">
        <v>588</v>
      </c>
      <c r="G48" s="349">
        <v>1152.7524076</v>
      </c>
      <c r="H48" s="229">
        <f t="shared" si="2"/>
        <v>15.952266600000002</v>
      </c>
      <c r="I48" s="183" t="s">
        <v>440</v>
      </c>
      <c r="J48" s="252">
        <f>13518.87*1.18/1000</f>
        <v>15.952266600000002</v>
      </c>
    </row>
    <row r="49" spans="1:11" s="6" customFormat="1" ht="72" thickBot="1" x14ac:dyDescent="0.3">
      <c r="A49" s="301" t="s">
        <v>355</v>
      </c>
      <c r="B49" s="289" t="s">
        <v>15</v>
      </c>
      <c r="C49" s="289" t="s">
        <v>353</v>
      </c>
      <c r="D49" s="221">
        <f>2088887.92/1000</f>
        <v>2088.8879200000001</v>
      </c>
      <c r="E49" s="221">
        <f t="shared" ref="E49:E54" si="3">G49</f>
        <v>307.244821</v>
      </c>
      <c r="F49" s="359" t="s">
        <v>537</v>
      </c>
      <c r="G49" s="221">
        <f>307244.821/1000</f>
        <v>307.244821</v>
      </c>
      <c r="H49" s="94">
        <f t="shared" si="2"/>
        <v>680.13358019999998</v>
      </c>
      <c r="I49" s="234" t="s">
        <v>409</v>
      </c>
      <c r="J49" s="302">
        <f>680133.5802/1000</f>
        <v>680.13358019999998</v>
      </c>
      <c r="K49" s="332">
        <f>G49+G51+G52+G53</f>
        <v>1713.3258000000001</v>
      </c>
    </row>
    <row r="50" spans="1:11" s="6" customFormat="1" ht="28.5" x14ac:dyDescent="0.25">
      <c r="A50" s="426" t="s">
        <v>163</v>
      </c>
      <c r="B50" s="340" t="s">
        <v>164</v>
      </c>
      <c r="C50" s="340" t="s">
        <v>405</v>
      </c>
      <c r="D50" s="342">
        <f>70000/1000</f>
        <v>70</v>
      </c>
      <c r="E50" s="342">
        <f t="shared" si="3"/>
        <v>70</v>
      </c>
      <c r="F50" s="231" t="s">
        <v>538</v>
      </c>
      <c r="G50" s="342">
        <v>70</v>
      </c>
      <c r="H50" s="236">
        <f>J50</f>
        <v>70</v>
      </c>
      <c r="I50" s="231" t="s">
        <v>174</v>
      </c>
      <c r="J50" s="246">
        <f>70000/1000</f>
        <v>70</v>
      </c>
      <c r="K50" s="332">
        <f>85.303+G48</f>
        <v>1238.0554075999999</v>
      </c>
    </row>
    <row r="51" spans="1:11" s="6" customFormat="1" ht="41.25" customHeight="1" thickBot="1" x14ac:dyDescent="0.3">
      <c r="A51" s="427"/>
      <c r="B51" s="348" t="s">
        <v>15</v>
      </c>
      <c r="C51" s="348" t="s">
        <v>353</v>
      </c>
      <c r="D51" s="349">
        <f>2088887.92/1000</f>
        <v>2088.8879200000001</v>
      </c>
      <c r="E51" s="349">
        <f t="shared" si="3"/>
        <v>352.56966299999999</v>
      </c>
      <c r="F51" s="183" t="s">
        <v>537</v>
      </c>
      <c r="G51" s="349">
        <f>352569.663/1000</f>
        <v>352.56966299999999</v>
      </c>
      <c r="H51" s="229">
        <f>J51</f>
        <v>352.56966299999999</v>
      </c>
      <c r="I51" s="183" t="s">
        <v>409</v>
      </c>
      <c r="J51" s="252">
        <f>352569.663/1000</f>
        <v>352.56966299999999</v>
      </c>
    </row>
    <row r="52" spans="1:11" s="6" customFormat="1" ht="79.5" customHeight="1" thickBot="1" x14ac:dyDescent="0.3">
      <c r="A52" s="217" t="s">
        <v>356</v>
      </c>
      <c r="B52" s="351" t="s">
        <v>15</v>
      </c>
      <c r="C52" s="351" t="s">
        <v>353</v>
      </c>
      <c r="D52" s="37">
        <f>2088887.92/1000</f>
        <v>2088.8879200000001</v>
      </c>
      <c r="E52" s="37">
        <f t="shared" si="3"/>
        <v>530.25165579999998</v>
      </c>
      <c r="F52" s="127" t="s">
        <v>537</v>
      </c>
      <c r="G52" s="37">
        <f>530251.6558/1000</f>
        <v>530.25165579999998</v>
      </c>
      <c r="H52" s="37">
        <f>J52</f>
        <v>530.25165579999998</v>
      </c>
      <c r="I52" s="234" t="s">
        <v>409</v>
      </c>
      <c r="J52" s="128">
        <f>530251.6558/1000</f>
        <v>530.25165579999998</v>
      </c>
    </row>
    <row r="53" spans="1:11" s="6" customFormat="1" ht="73.5" customHeight="1" thickBot="1" x14ac:dyDescent="0.3">
      <c r="A53" s="33" t="s">
        <v>357</v>
      </c>
      <c r="B53" s="23" t="s">
        <v>15</v>
      </c>
      <c r="C53" s="348" t="s">
        <v>353</v>
      </c>
      <c r="D53" s="24">
        <f>2088887.92/1000</f>
        <v>2088.8879200000001</v>
      </c>
      <c r="E53" s="24">
        <f t="shared" si="3"/>
        <v>523.25966019999998</v>
      </c>
      <c r="F53" s="25" t="s">
        <v>537</v>
      </c>
      <c r="G53" s="24">
        <f>523259.6602/1000</f>
        <v>523.25966019999998</v>
      </c>
      <c r="H53" s="24">
        <f>J53</f>
        <v>523.25966019999998</v>
      </c>
      <c r="I53" s="290" t="s">
        <v>409</v>
      </c>
      <c r="J53" s="26">
        <f>523259.6602/1000</f>
        <v>523.25966019999998</v>
      </c>
    </row>
    <row r="54" spans="1:11" s="6" customFormat="1" ht="72" thickBot="1" x14ac:dyDescent="0.3">
      <c r="A54" s="33" t="s">
        <v>212</v>
      </c>
      <c r="B54" s="23" t="s">
        <v>213</v>
      </c>
      <c r="C54" s="23" t="s">
        <v>214</v>
      </c>
      <c r="D54" s="24">
        <f>768312/1000</f>
        <v>768.31200000000001</v>
      </c>
      <c r="E54" s="24">
        <f t="shared" si="3"/>
        <v>768.31200000000001</v>
      </c>
      <c r="F54" s="25" t="s">
        <v>539</v>
      </c>
      <c r="G54" s="24">
        <v>768.31200000000001</v>
      </c>
      <c r="H54" s="24">
        <f>J54</f>
        <v>768.31199479999998</v>
      </c>
      <c r="I54" s="25" t="s">
        <v>256</v>
      </c>
      <c r="J54" s="26">
        <v>768.31199479999998</v>
      </c>
    </row>
    <row r="55" spans="1:11" s="6" customFormat="1" ht="15.75" thickBot="1" x14ac:dyDescent="0.3">
      <c r="A55" s="34" t="s">
        <v>36</v>
      </c>
      <c r="B55" s="35"/>
      <c r="C55" s="35"/>
      <c r="D55" s="35"/>
      <c r="E55" s="36">
        <f>SUM(E9:E54)</f>
        <v>73696.561493000001</v>
      </c>
      <c r="F55" s="36"/>
      <c r="G55" s="36">
        <f t="shared" ref="G55" si="4">SUM(G9:G54)</f>
        <v>73696.561492999987</v>
      </c>
      <c r="H55" s="36">
        <f>SUM(H9:H54)</f>
        <v>16837.590620799998</v>
      </c>
      <c r="I55" s="36">
        <f t="shared" ref="I55:J55" si="5">SUM(I9:I54)</f>
        <v>0</v>
      </c>
      <c r="J55" s="36">
        <f t="shared" si="5"/>
        <v>16837.590620799998</v>
      </c>
    </row>
    <row r="56" spans="1:11" s="6" customFormat="1" ht="30.75" thickBot="1" x14ac:dyDescent="0.3">
      <c r="A56" s="39" t="s">
        <v>37</v>
      </c>
      <c r="B56" s="40"/>
      <c r="C56" s="40"/>
      <c r="D56" s="40"/>
      <c r="E56" s="41">
        <f>G56</f>
        <v>1654.3222867540742</v>
      </c>
      <c r="F56" s="24"/>
      <c r="G56" s="41">
        <v>1654.3222867540742</v>
      </c>
      <c r="H56" s="41">
        <f>J56</f>
        <v>1654.3222867540742</v>
      </c>
      <c r="I56" s="24"/>
      <c r="J56" s="42">
        <v>1654.3222867540742</v>
      </c>
    </row>
    <row r="57" spans="1:11" s="6" customFormat="1" ht="30.75" thickBot="1" x14ac:dyDescent="0.3">
      <c r="A57" s="39" t="s">
        <v>38</v>
      </c>
      <c r="B57" s="40"/>
      <c r="C57" s="40"/>
      <c r="D57" s="40"/>
      <c r="E57" s="41">
        <f>E55+E56</f>
        <v>75350.883779754076</v>
      </c>
      <c r="F57" s="24"/>
      <c r="G57" s="41">
        <f>G55+G56</f>
        <v>75350.883779754062</v>
      </c>
      <c r="H57" s="41">
        <f>H55+H56</f>
        <v>18491.912907554073</v>
      </c>
      <c r="I57" s="24"/>
      <c r="J57" s="42">
        <f>J55+J56</f>
        <v>18491.912907554073</v>
      </c>
    </row>
    <row r="58" spans="1:11" s="6" customFormat="1" ht="15.75" thickBot="1" x14ac:dyDescent="0.3">
      <c r="A58" s="303"/>
      <c r="B58" s="304"/>
      <c r="C58" s="304"/>
      <c r="D58" s="304"/>
      <c r="E58" s="305"/>
      <c r="F58" s="306"/>
      <c r="G58" s="305"/>
      <c r="H58" s="305"/>
      <c r="I58" s="306"/>
      <c r="J58" s="307"/>
    </row>
    <row r="59" spans="1:11" s="6" customFormat="1" ht="15.75" thickBot="1" x14ac:dyDescent="0.3">
      <c r="A59" s="303"/>
      <c r="B59" s="304"/>
      <c r="C59" s="304"/>
      <c r="D59" s="304"/>
      <c r="E59" s="305"/>
      <c r="F59" s="306"/>
      <c r="G59" s="305"/>
      <c r="H59" s="305"/>
      <c r="I59" s="306"/>
      <c r="J59" s="307"/>
    </row>
    <row r="60" spans="1:11" s="6" customFormat="1" x14ac:dyDescent="0.25">
      <c r="A60" s="336" t="s">
        <v>39</v>
      </c>
      <c r="B60" s="334"/>
      <c r="C60" s="334"/>
      <c r="D60" s="334"/>
      <c r="E60" s="334"/>
      <c r="F60" s="334"/>
      <c r="G60" s="334"/>
      <c r="H60" s="334"/>
      <c r="I60" s="334"/>
      <c r="J60" s="335"/>
    </row>
    <row r="61" spans="1:11" s="6" customFormat="1" ht="42.75" customHeight="1" x14ac:dyDescent="0.25">
      <c r="A61" s="365" t="s">
        <v>40</v>
      </c>
      <c r="B61" s="365" t="s">
        <v>41</v>
      </c>
      <c r="C61" s="365" t="s">
        <v>42</v>
      </c>
      <c r="D61" s="439">
        <v>82000</v>
      </c>
      <c r="E61" s="439">
        <f>SUM(G61:G82)</f>
        <v>36246.020738599997</v>
      </c>
      <c r="F61" s="357" t="s">
        <v>540</v>
      </c>
      <c r="G61" s="343">
        <v>130.99584999999999</v>
      </c>
      <c r="H61" s="361">
        <f>SUM(J61:J75)</f>
        <v>32831.120364800001</v>
      </c>
      <c r="I61" s="214" t="s">
        <v>44</v>
      </c>
      <c r="J61" s="228">
        <f>130995.8474/1000</f>
        <v>130.9958474</v>
      </c>
    </row>
    <row r="62" spans="1:11" s="6" customFormat="1" ht="28.5" x14ac:dyDescent="0.25">
      <c r="A62" s="380"/>
      <c r="B62" s="380"/>
      <c r="C62" s="380"/>
      <c r="D62" s="440"/>
      <c r="E62" s="440"/>
      <c r="F62" s="357" t="s">
        <v>541</v>
      </c>
      <c r="G62" s="343">
        <v>651.55920000000003</v>
      </c>
      <c r="H62" s="362"/>
      <c r="I62" s="214" t="s">
        <v>46</v>
      </c>
      <c r="J62" s="228">
        <f>30576.14*1.18/1000</f>
        <v>36.079845199999994</v>
      </c>
    </row>
    <row r="63" spans="1:11" s="6" customFormat="1" ht="28.5" x14ac:dyDescent="0.25">
      <c r="A63" s="380"/>
      <c r="B63" s="380"/>
      <c r="C63" s="380"/>
      <c r="D63" s="440"/>
      <c r="E63" s="440"/>
      <c r="F63" s="357" t="s">
        <v>542</v>
      </c>
      <c r="G63" s="343">
        <v>36.07985</v>
      </c>
      <c r="H63" s="362"/>
      <c r="I63" s="214" t="s">
        <v>48</v>
      </c>
      <c r="J63" s="228">
        <f>552168.81*1.18/1000</f>
        <v>651.5591958</v>
      </c>
    </row>
    <row r="64" spans="1:11" s="6" customFormat="1" ht="28.5" x14ac:dyDescent="0.25">
      <c r="A64" s="380"/>
      <c r="B64" s="380"/>
      <c r="C64" s="380"/>
      <c r="D64" s="440"/>
      <c r="E64" s="440"/>
      <c r="F64" s="357" t="s">
        <v>18</v>
      </c>
      <c r="G64" s="343" t="s">
        <v>18</v>
      </c>
      <c r="H64" s="362"/>
      <c r="I64" s="214" t="s">
        <v>49</v>
      </c>
      <c r="J64" s="228">
        <v>505.16762879999999</v>
      </c>
    </row>
    <row r="65" spans="1:10" s="6" customFormat="1" ht="28.5" x14ac:dyDescent="0.25">
      <c r="A65" s="380"/>
      <c r="B65" s="380"/>
      <c r="C65" s="380"/>
      <c r="D65" s="440"/>
      <c r="E65" s="440"/>
      <c r="F65" s="357" t="s">
        <v>18</v>
      </c>
      <c r="G65" s="343" t="s">
        <v>18</v>
      </c>
      <c r="H65" s="362"/>
      <c r="I65" s="214" t="s">
        <v>50</v>
      </c>
      <c r="J65" s="228">
        <v>1041.8767402000001</v>
      </c>
    </row>
    <row r="66" spans="1:10" s="6" customFormat="1" ht="28.5" x14ac:dyDescent="0.25">
      <c r="A66" s="380"/>
      <c r="B66" s="380"/>
      <c r="C66" s="380"/>
      <c r="D66" s="440"/>
      <c r="E66" s="440"/>
      <c r="F66" s="357" t="s">
        <v>543</v>
      </c>
      <c r="G66" s="343">
        <f>505167.63/1000</f>
        <v>505.16763000000003</v>
      </c>
      <c r="H66" s="362"/>
      <c r="I66" s="214" t="s">
        <v>154</v>
      </c>
      <c r="J66" s="228">
        <v>3587.7674383999997</v>
      </c>
    </row>
    <row r="67" spans="1:10" s="6" customFormat="1" ht="28.5" x14ac:dyDescent="0.25">
      <c r="A67" s="380"/>
      <c r="B67" s="380"/>
      <c r="C67" s="380"/>
      <c r="D67" s="440"/>
      <c r="E67" s="440"/>
      <c r="F67" s="357" t="s">
        <v>544</v>
      </c>
      <c r="G67" s="343">
        <f>1041876.74/1000</f>
        <v>1041.8767399999999</v>
      </c>
      <c r="H67" s="362"/>
      <c r="I67" s="214" t="s">
        <v>153</v>
      </c>
      <c r="J67" s="228">
        <v>676.7155095999999</v>
      </c>
    </row>
    <row r="68" spans="1:10" s="6" customFormat="1" ht="28.5" x14ac:dyDescent="0.25">
      <c r="A68" s="380"/>
      <c r="B68" s="380"/>
      <c r="C68" s="380"/>
      <c r="D68" s="440"/>
      <c r="E68" s="440"/>
      <c r="F68" s="357" t="s">
        <v>545</v>
      </c>
      <c r="G68" s="343">
        <f>3587767.44/1000</f>
        <v>3587.7674400000001</v>
      </c>
      <c r="H68" s="362"/>
      <c r="I68" s="214" t="s">
        <v>173</v>
      </c>
      <c r="J68" s="228">
        <v>1793.9132191999997</v>
      </c>
    </row>
    <row r="69" spans="1:10" s="6" customFormat="1" ht="28.5" x14ac:dyDescent="0.25">
      <c r="A69" s="380"/>
      <c r="B69" s="380"/>
      <c r="C69" s="380"/>
      <c r="D69" s="440"/>
      <c r="E69" s="440"/>
      <c r="F69" s="357" t="s">
        <v>546</v>
      </c>
      <c r="G69" s="343">
        <f>676715.51/1000</f>
        <v>676.71550999999999</v>
      </c>
      <c r="H69" s="362"/>
      <c r="I69" s="214" t="s">
        <v>209</v>
      </c>
      <c r="J69" s="228">
        <v>2883.876045</v>
      </c>
    </row>
    <row r="70" spans="1:10" s="6" customFormat="1" ht="28.5" x14ac:dyDescent="0.25">
      <c r="A70" s="380"/>
      <c r="B70" s="380"/>
      <c r="C70" s="380"/>
      <c r="D70" s="440"/>
      <c r="E70" s="440"/>
      <c r="F70" s="357" t="s">
        <v>547</v>
      </c>
      <c r="G70" s="343">
        <v>1793.9132199999999</v>
      </c>
      <c r="H70" s="362"/>
      <c r="I70" s="214" t="s">
        <v>239</v>
      </c>
      <c r="J70" s="228">
        <v>2620.1652435999995</v>
      </c>
    </row>
    <row r="71" spans="1:10" s="6" customFormat="1" ht="28.5" x14ac:dyDescent="0.25">
      <c r="A71" s="380"/>
      <c r="B71" s="380"/>
      <c r="C71" s="380"/>
      <c r="D71" s="440"/>
      <c r="E71" s="440"/>
      <c r="F71" s="357" t="s">
        <v>548</v>
      </c>
      <c r="G71" s="343">
        <v>156.38051000000002</v>
      </c>
      <c r="H71" s="362"/>
      <c r="I71" s="214" t="s">
        <v>241</v>
      </c>
      <c r="J71" s="228">
        <v>13052.014514999999</v>
      </c>
    </row>
    <row r="72" spans="1:10" s="6" customFormat="1" ht="28.5" x14ac:dyDescent="0.25">
      <c r="A72" s="380"/>
      <c r="B72" s="380"/>
      <c r="C72" s="380"/>
      <c r="D72" s="440"/>
      <c r="E72" s="440"/>
      <c r="F72" s="357" t="s">
        <v>549</v>
      </c>
      <c r="G72" s="343">
        <v>24.634679999999999</v>
      </c>
      <c r="H72" s="362"/>
      <c r="I72" s="214" t="s">
        <v>247</v>
      </c>
      <c r="J72" s="228">
        <v>1395.4322106</v>
      </c>
    </row>
    <row r="73" spans="1:10" s="6" customFormat="1" ht="28.5" x14ac:dyDescent="0.25">
      <c r="A73" s="380"/>
      <c r="B73" s="380"/>
      <c r="C73" s="380"/>
      <c r="D73" s="440"/>
      <c r="E73" s="440"/>
      <c r="F73" s="357" t="s">
        <v>550</v>
      </c>
      <c r="G73" s="343">
        <v>2883.876045</v>
      </c>
      <c r="H73" s="362"/>
      <c r="I73" s="214" t="s">
        <v>243</v>
      </c>
      <c r="J73" s="228">
        <v>455.98365940000002</v>
      </c>
    </row>
    <row r="74" spans="1:10" s="6" customFormat="1" ht="28.5" x14ac:dyDescent="0.25">
      <c r="A74" s="380"/>
      <c r="B74" s="380"/>
      <c r="C74" s="380"/>
      <c r="D74" s="440"/>
      <c r="E74" s="440"/>
      <c r="F74" s="357" t="s">
        <v>551</v>
      </c>
      <c r="G74" s="343">
        <v>2620.1652435999995</v>
      </c>
      <c r="H74" s="362"/>
      <c r="I74" s="214" t="s">
        <v>246</v>
      </c>
      <c r="J74" s="228">
        <v>34.634238999999994</v>
      </c>
    </row>
    <row r="75" spans="1:10" s="6" customFormat="1" ht="28.5" x14ac:dyDescent="0.25">
      <c r="A75" s="380"/>
      <c r="B75" s="380"/>
      <c r="C75" s="380"/>
      <c r="D75" s="440"/>
      <c r="E75" s="440"/>
      <c r="F75" s="357" t="s">
        <v>552</v>
      </c>
      <c r="G75" s="343">
        <v>34.084499999999998</v>
      </c>
      <c r="H75" s="362"/>
      <c r="I75" s="214" t="s">
        <v>295</v>
      </c>
      <c r="J75" s="228">
        <v>3964.9390275999995</v>
      </c>
    </row>
    <row r="76" spans="1:10" s="6" customFormat="1" ht="28.5" x14ac:dyDescent="0.25">
      <c r="A76" s="380"/>
      <c r="B76" s="380"/>
      <c r="C76" s="380"/>
      <c r="D76" s="440"/>
      <c r="E76" s="440"/>
      <c r="F76" s="357" t="s">
        <v>365</v>
      </c>
      <c r="G76" s="343">
        <f>34634.24/1000</f>
        <v>34.634239999999998</v>
      </c>
      <c r="H76" s="362"/>
      <c r="I76" s="214"/>
      <c r="J76" s="228"/>
    </row>
    <row r="77" spans="1:10" s="6" customFormat="1" ht="28.5" x14ac:dyDescent="0.25">
      <c r="A77" s="380"/>
      <c r="B77" s="380"/>
      <c r="C77" s="380"/>
      <c r="D77" s="440"/>
      <c r="E77" s="440"/>
      <c r="F77" s="357" t="s">
        <v>366</v>
      </c>
      <c r="G77" s="343">
        <f>13052014.52/1000</f>
        <v>13052.014519999999</v>
      </c>
      <c r="H77" s="362"/>
      <c r="I77" s="214"/>
      <c r="J77" s="228"/>
    </row>
    <row r="78" spans="1:10" s="6" customFormat="1" ht="28.5" x14ac:dyDescent="0.25">
      <c r="A78" s="380"/>
      <c r="B78" s="380"/>
      <c r="C78" s="380"/>
      <c r="D78" s="440"/>
      <c r="E78" s="440"/>
      <c r="F78" s="357" t="s">
        <v>367</v>
      </c>
      <c r="G78" s="343">
        <f>1395432.21/1000</f>
        <v>1395.4322099999999</v>
      </c>
      <c r="H78" s="362"/>
      <c r="I78" s="214"/>
      <c r="J78" s="228"/>
    </row>
    <row r="79" spans="1:10" s="6" customFormat="1" ht="28.5" x14ac:dyDescent="0.25">
      <c r="A79" s="380"/>
      <c r="B79" s="380"/>
      <c r="C79" s="380"/>
      <c r="D79" s="440"/>
      <c r="E79" s="440"/>
      <c r="F79" s="357" t="s">
        <v>368</v>
      </c>
      <c r="G79" s="343">
        <f>455983.66/1000</f>
        <v>455.98365999999999</v>
      </c>
      <c r="H79" s="362"/>
      <c r="I79" s="214"/>
      <c r="J79" s="228"/>
    </row>
    <row r="80" spans="1:10" s="6" customFormat="1" ht="28.5" x14ac:dyDescent="0.25">
      <c r="A80" s="380"/>
      <c r="B80" s="380"/>
      <c r="C80" s="380"/>
      <c r="D80" s="440"/>
      <c r="E80" s="440"/>
      <c r="F80" s="357" t="s">
        <v>369</v>
      </c>
      <c r="G80" s="343">
        <f>1482512.18/1000</f>
        <v>1482.5121799999999</v>
      </c>
      <c r="H80" s="362"/>
      <c r="I80" s="214"/>
      <c r="J80" s="228"/>
    </row>
    <row r="81" spans="1:10" s="6" customFormat="1" ht="28.5" x14ac:dyDescent="0.25">
      <c r="A81" s="380"/>
      <c r="B81" s="380"/>
      <c r="C81" s="380"/>
      <c r="D81" s="440"/>
      <c r="E81" s="440"/>
      <c r="F81" s="357" t="s">
        <v>370</v>
      </c>
      <c r="G81" s="343">
        <f>1717288.48/1000</f>
        <v>1717.2884799999999</v>
      </c>
      <c r="H81" s="362"/>
      <c r="I81" s="214"/>
      <c r="J81" s="228"/>
    </row>
    <row r="82" spans="1:10" s="6" customFormat="1" ht="28.5" x14ac:dyDescent="0.25">
      <c r="A82" s="380"/>
      <c r="B82" s="366"/>
      <c r="C82" s="366"/>
      <c r="D82" s="441"/>
      <c r="E82" s="441"/>
      <c r="F82" s="357" t="s">
        <v>371</v>
      </c>
      <c r="G82" s="343">
        <f>3964939.03/1000</f>
        <v>3964.93903</v>
      </c>
      <c r="H82" s="363"/>
      <c r="I82" s="214"/>
      <c r="J82" s="228"/>
    </row>
    <row r="83" spans="1:10" s="6" customFormat="1" x14ac:dyDescent="0.25">
      <c r="A83" s="380"/>
      <c r="B83" s="364" t="s">
        <v>252</v>
      </c>
      <c r="C83" s="364"/>
      <c r="D83" s="228"/>
      <c r="E83" s="228"/>
      <c r="F83" s="214"/>
      <c r="G83" s="228"/>
      <c r="H83" s="228">
        <f>J83</f>
        <v>3482.1039372</v>
      </c>
      <c r="I83" s="214"/>
      <c r="J83" s="228">
        <v>3482.1039372</v>
      </c>
    </row>
    <row r="84" spans="1:10" s="6" customFormat="1" ht="71.25" customHeight="1" x14ac:dyDescent="0.25">
      <c r="A84" s="380"/>
      <c r="B84" s="424" t="s">
        <v>41</v>
      </c>
      <c r="C84" s="424" t="s">
        <v>51</v>
      </c>
      <c r="D84" s="424">
        <f>7700000/1000</f>
        <v>7700</v>
      </c>
      <c r="E84" s="424">
        <f>SUM(G84:G92)</f>
        <v>2539.5856964</v>
      </c>
      <c r="F84" s="357" t="s">
        <v>553</v>
      </c>
      <c r="G84" s="343">
        <f>513728.95/1000</f>
        <v>513.72895000000005</v>
      </c>
      <c r="H84" s="424">
        <f>SUM(J84:J92)</f>
        <v>2726.3216898000001</v>
      </c>
      <c r="I84" s="214" t="s">
        <v>53</v>
      </c>
      <c r="J84" s="228">
        <f>4024.8148/1000</f>
        <v>4.0248147999999997</v>
      </c>
    </row>
    <row r="85" spans="1:10" s="6" customFormat="1" ht="28.5" x14ac:dyDescent="0.25">
      <c r="A85" s="380"/>
      <c r="B85" s="416"/>
      <c r="C85" s="416"/>
      <c r="D85" s="416"/>
      <c r="E85" s="416"/>
      <c r="F85" s="357" t="s">
        <v>554</v>
      </c>
      <c r="G85" s="343">
        <f>100040.74/1000</f>
        <v>100.04074</v>
      </c>
      <c r="H85" s="416"/>
      <c r="I85" s="214" t="s">
        <v>159</v>
      </c>
      <c r="J85" s="228">
        <v>341.8673344</v>
      </c>
    </row>
    <row r="86" spans="1:10" s="6" customFormat="1" ht="28.5" x14ac:dyDescent="0.25">
      <c r="A86" s="380"/>
      <c r="B86" s="416"/>
      <c r="C86" s="416"/>
      <c r="D86" s="416"/>
      <c r="E86" s="416"/>
      <c r="F86" s="357" t="s">
        <v>555</v>
      </c>
      <c r="G86" s="343">
        <f>73031.03/1000</f>
        <v>73.031030000000001</v>
      </c>
      <c r="H86" s="416"/>
      <c r="I86" s="214" t="s">
        <v>172</v>
      </c>
      <c r="J86" s="228">
        <f>(128971.48/1000)*1.18</f>
        <v>152.18634639999996</v>
      </c>
    </row>
    <row r="87" spans="1:10" s="6" customFormat="1" ht="28.5" x14ac:dyDescent="0.25">
      <c r="A87" s="380"/>
      <c r="B87" s="416"/>
      <c r="C87" s="416"/>
      <c r="D87" s="416"/>
      <c r="E87" s="416"/>
      <c r="F87" s="357" t="s">
        <v>556</v>
      </c>
      <c r="G87" s="343">
        <f>122959.86/1000</f>
        <v>122.95986000000001</v>
      </c>
      <c r="H87" s="416"/>
      <c r="I87" s="214" t="s">
        <v>242</v>
      </c>
      <c r="J87" s="214">
        <v>1717.2884796000001</v>
      </c>
    </row>
    <row r="88" spans="1:10" s="6" customFormat="1" ht="28.5" x14ac:dyDescent="0.25">
      <c r="A88" s="380"/>
      <c r="B88" s="416"/>
      <c r="C88" s="416"/>
      <c r="D88" s="416"/>
      <c r="E88" s="416"/>
      <c r="F88" s="357" t="s">
        <v>619</v>
      </c>
      <c r="G88" s="343">
        <f>819718.69/1000</f>
        <v>819.71868999999992</v>
      </c>
      <c r="H88" s="416"/>
      <c r="I88" s="214" t="s">
        <v>288</v>
      </c>
      <c r="J88" s="214">
        <v>412.02793959999991</v>
      </c>
    </row>
    <row r="89" spans="1:10" s="6" customFormat="1" ht="28.5" x14ac:dyDescent="0.25">
      <c r="A89" s="380"/>
      <c r="B89" s="416"/>
      <c r="C89" s="416"/>
      <c r="D89" s="416"/>
      <c r="E89" s="416"/>
      <c r="F89" s="357" t="s">
        <v>557</v>
      </c>
      <c r="G89" s="343">
        <v>4.0248100000000004</v>
      </c>
      <c r="H89" s="416"/>
      <c r="I89" s="214" t="s">
        <v>18</v>
      </c>
      <c r="J89" s="214" t="s">
        <v>18</v>
      </c>
    </row>
    <row r="90" spans="1:10" s="6" customFormat="1" ht="30" customHeight="1" x14ac:dyDescent="0.25">
      <c r="A90" s="380"/>
      <c r="B90" s="416"/>
      <c r="C90" s="416"/>
      <c r="D90" s="416"/>
      <c r="E90" s="416"/>
      <c r="F90" s="357" t="s">
        <v>558</v>
      </c>
      <c r="G90" s="343">
        <f>341867.33/1000</f>
        <v>341.86733000000004</v>
      </c>
      <c r="H90" s="416"/>
      <c r="I90" s="214" t="s">
        <v>18</v>
      </c>
      <c r="J90" s="214" t="s">
        <v>18</v>
      </c>
    </row>
    <row r="91" spans="1:10" s="6" customFormat="1" ht="27" customHeight="1" x14ac:dyDescent="0.25">
      <c r="A91" s="380"/>
      <c r="B91" s="416"/>
      <c r="C91" s="416"/>
      <c r="D91" s="416"/>
      <c r="E91" s="416"/>
      <c r="F91" s="357" t="s">
        <v>559</v>
      </c>
      <c r="G91" s="343">
        <v>152.18634639999996</v>
      </c>
      <c r="H91" s="416"/>
      <c r="I91" s="214"/>
      <c r="J91" s="214"/>
    </row>
    <row r="92" spans="1:10" s="6" customFormat="1" ht="28.5" x14ac:dyDescent="0.25">
      <c r="A92" s="380"/>
      <c r="B92" s="417"/>
      <c r="C92" s="417"/>
      <c r="D92" s="417"/>
      <c r="E92" s="417"/>
      <c r="F92" s="357" t="s">
        <v>386</v>
      </c>
      <c r="G92" s="343">
        <f>412027.94/1000</f>
        <v>412.02794</v>
      </c>
      <c r="H92" s="417"/>
      <c r="I92" s="214" t="s">
        <v>466</v>
      </c>
      <c r="J92" s="214">
        <f>98926.775/1000</f>
        <v>98.926774999999992</v>
      </c>
    </row>
    <row r="93" spans="1:10" s="6" customFormat="1" x14ac:dyDescent="0.25">
      <c r="A93" s="380"/>
      <c r="B93" s="423" t="s">
        <v>253</v>
      </c>
      <c r="C93" s="423"/>
      <c r="D93" s="228"/>
      <c r="E93" s="228"/>
      <c r="F93" s="357"/>
      <c r="G93" s="343"/>
      <c r="H93" s="228">
        <f>J93</f>
        <v>7137.4930101999998</v>
      </c>
      <c r="I93" s="214"/>
      <c r="J93" s="214">
        <v>7137.4930101999998</v>
      </c>
    </row>
    <row r="94" spans="1:10" s="6" customFormat="1" x14ac:dyDescent="0.25">
      <c r="A94" s="380"/>
      <c r="B94" s="423" t="s">
        <v>252</v>
      </c>
      <c r="C94" s="423"/>
      <c r="D94" s="228"/>
      <c r="E94" s="228"/>
      <c r="F94" s="357"/>
      <c r="G94" s="343"/>
      <c r="H94" s="228">
        <f>J94</f>
        <v>5919.9195682</v>
      </c>
      <c r="I94" s="214"/>
      <c r="J94" s="214">
        <v>5919.9195682</v>
      </c>
    </row>
    <row r="95" spans="1:10" s="6" customFormat="1" x14ac:dyDescent="0.25">
      <c r="A95" s="380"/>
      <c r="B95" s="423" t="s">
        <v>484</v>
      </c>
      <c r="C95" s="423"/>
      <c r="D95" s="228"/>
      <c r="E95" s="228"/>
      <c r="F95" s="357"/>
      <c r="G95" s="343"/>
      <c r="H95" s="228">
        <f>J95</f>
        <v>1408.3418354</v>
      </c>
      <c r="I95" s="214"/>
      <c r="J95" s="214">
        <f>1408341.8354/1000</f>
        <v>1408.3418354</v>
      </c>
    </row>
    <row r="96" spans="1:10" s="6" customFormat="1" ht="57" x14ac:dyDescent="0.25">
      <c r="A96" s="380"/>
      <c r="B96" s="424" t="s">
        <v>59</v>
      </c>
      <c r="C96" s="423" t="s">
        <v>225</v>
      </c>
      <c r="D96" s="421">
        <f>143412108/1000</f>
        <v>143412.10800000001</v>
      </c>
      <c r="E96" s="361">
        <f>SUM(G96:G114)</f>
        <v>77719.645410000012</v>
      </c>
      <c r="F96" s="357" t="s">
        <v>560</v>
      </c>
      <c r="G96" s="343">
        <f>16086573.81/1000</f>
        <v>16086.57381</v>
      </c>
      <c r="H96" s="361">
        <f>SUM(J96:J110)</f>
        <v>13894.080911200001</v>
      </c>
      <c r="I96" s="214" t="s">
        <v>255</v>
      </c>
      <c r="J96" s="228">
        <v>1482.5121749999998</v>
      </c>
    </row>
    <row r="97" spans="1:10" s="6" customFormat="1" ht="28.5" x14ac:dyDescent="0.25">
      <c r="A97" s="380"/>
      <c r="B97" s="416"/>
      <c r="C97" s="423"/>
      <c r="D97" s="421"/>
      <c r="E97" s="362"/>
      <c r="F97" s="540" t="s">
        <v>61</v>
      </c>
      <c r="G97" s="541">
        <f>292539.95/1000</f>
        <v>292.53995000000003</v>
      </c>
      <c r="H97" s="362"/>
      <c r="I97" s="214" t="s">
        <v>415</v>
      </c>
      <c r="J97" s="228">
        <f>1902129.1902/1000</f>
        <v>1902.1291902</v>
      </c>
    </row>
    <row r="98" spans="1:10" s="6" customFormat="1" ht="28.5" x14ac:dyDescent="0.25">
      <c r="A98" s="380"/>
      <c r="B98" s="416"/>
      <c r="C98" s="423"/>
      <c r="D98" s="421"/>
      <c r="E98" s="362"/>
      <c r="F98" s="357" t="s">
        <v>561</v>
      </c>
      <c r="G98" s="343">
        <v>636.48311999999999</v>
      </c>
      <c r="H98" s="362"/>
      <c r="I98" s="214" t="s">
        <v>432</v>
      </c>
      <c r="J98" s="228">
        <f>9611700.266/1000</f>
        <v>9611.7002660000016</v>
      </c>
    </row>
    <row r="99" spans="1:10" s="6" customFormat="1" ht="28.5" x14ac:dyDescent="0.25">
      <c r="A99" s="380"/>
      <c r="B99" s="416"/>
      <c r="C99" s="423"/>
      <c r="D99" s="421"/>
      <c r="E99" s="362"/>
      <c r="F99" s="423" t="s">
        <v>562</v>
      </c>
      <c r="G99" s="343">
        <v>1196.35187</v>
      </c>
      <c r="H99" s="362"/>
      <c r="I99" s="214" t="s">
        <v>432</v>
      </c>
      <c r="J99" s="214">
        <f>897739.28/1000</f>
        <v>897.73928000000001</v>
      </c>
    </row>
    <row r="100" spans="1:10" s="6" customFormat="1" x14ac:dyDescent="0.25">
      <c r="A100" s="380"/>
      <c r="B100" s="416"/>
      <c r="C100" s="423"/>
      <c r="D100" s="421"/>
      <c r="E100" s="362"/>
      <c r="F100" s="423"/>
      <c r="G100" s="343">
        <v>622.94609000000003</v>
      </c>
      <c r="H100" s="362"/>
      <c r="I100" s="214" t="s">
        <v>18</v>
      </c>
      <c r="J100" s="214" t="s">
        <v>18</v>
      </c>
    </row>
    <row r="101" spans="1:10" s="6" customFormat="1" ht="28.5" customHeight="1" x14ac:dyDescent="0.25">
      <c r="A101" s="380"/>
      <c r="B101" s="416"/>
      <c r="C101" s="424" t="s">
        <v>625</v>
      </c>
      <c r="D101" s="361">
        <f>143769977.9/1000</f>
        <v>143769.9779</v>
      </c>
      <c r="E101" s="362"/>
      <c r="F101" s="357" t="s">
        <v>563</v>
      </c>
      <c r="G101" s="343">
        <v>2955.7913199999998</v>
      </c>
      <c r="H101" s="362"/>
      <c r="I101" s="214" t="s">
        <v>18</v>
      </c>
      <c r="J101" s="214" t="s">
        <v>18</v>
      </c>
    </row>
    <row r="102" spans="1:10" s="6" customFormat="1" ht="28.5" x14ac:dyDescent="0.25">
      <c r="A102" s="380"/>
      <c r="B102" s="416"/>
      <c r="C102" s="416"/>
      <c r="D102" s="362"/>
      <c r="E102" s="362"/>
      <c r="F102" s="357" t="s">
        <v>564</v>
      </c>
      <c r="G102" s="343">
        <v>3937.3973700000001</v>
      </c>
      <c r="H102" s="362"/>
      <c r="I102" s="214" t="s">
        <v>18</v>
      </c>
      <c r="J102" s="214" t="s">
        <v>18</v>
      </c>
    </row>
    <row r="103" spans="1:10" s="6" customFormat="1" ht="28.5" x14ac:dyDescent="0.25">
      <c r="A103" s="380"/>
      <c r="B103" s="416"/>
      <c r="C103" s="416"/>
      <c r="D103" s="362"/>
      <c r="E103" s="362"/>
      <c r="F103" s="357" t="s">
        <v>565</v>
      </c>
      <c r="G103" s="343">
        <v>7794.63627</v>
      </c>
      <c r="H103" s="362"/>
      <c r="I103" s="214" t="s">
        <v>18</v>
      </c>
      <c r="J103" s="214" t="s">
        <v>18</v>
      </c>
    </row>
    <row r="104" spans="1:10" s="6" customFormat="1" ht="28.5" x14ac:dyDescent="0.25">
      <c r="A104" s="380"/>
      <c r="B104" s="416"/>
      <c r="C104" s="416"/>
      <c r="D104" s="362"/>
      <c r="E104" s="362"/>
      <c r="F104" s="357" t="s">
        <v>566</v>
      </c>
      <c r="G104" s="343">
        <v>8396.4669300000005</v>
      </c>
      <c r="H104" s="362"/>
      <c r="I104" s="214" t="s">
        <v>18</v>
      </c>
      <c r="J104" s="214" t="s">
        <v>18</v>
      </c>
    </row>
    <row r="105" spans="1:10" s="6" customFormat="1" ht="37.5" customHeight="1" x14ac:dyDescent="0.25">
      <c r="A105" s="380"/>
      <c r="B105" s="416"/>
      <c r="C105" s="416"/>
      <c r="D105" s="362"/>
      <c r="E105" s="362"/>
      <c r="F105" s="357" t="s">
        <v>567</v>
      </c>
      <c r="G105" s="343">
        <v>5037.8801599999997</v>
      </c>
      <c r="H105" s="362"/>
      <c r="I105" s="214" t="s">
        <v>18</v>
      </c>
      <c r="J105" s="214" t="s">
        <v>18</v>
      </c>
    </row>
    <row r="106" spans="1:10" s="6" customFormat="1" ht="30.75" customHeight="1" x14ac:dyDescent="0.25">
      <c r="A106" s="380"/>
      <c r="B106" s="416"/>
      <c r="C106" s="416"/>
      <c r="D106" s="362"/>
      <c r="E106" s="362"/>
      <c r="F106" s="357" t="s">
        <v>568</v>
      </c>
      <c r="G106" s="343">
        <v>4676.7817599999998</v>
      </c>
      <c r="H106" s="362"/>
      <c r="I106" s="214" t="s">
        <v>18</v>
      </c>
      <c r="J106" s="214" t="s">
        <v>18</v>
      </c>
    </row>
    <row r="107" spans="1:10" s="6" customFormat="1" ht="29.25" customHeight="1" x14ac:dyDescent="0.25">
      <c r="A107" s="380"/>
      <c r="B107" s="416"/>
      <c r="C107" s="416"/>
      <c r="D107" s="362"/>
      <c r="E107" s="362"/>
      <c r="F107" s="357" t="s">
        <v>569</v>
      </c>
      <c r="G107" s="343">
        <v>1773.47479</v>
      </c>
      <c r="H107" s="362"/>
      <c r="I107" s="214" t="s">
        <v>18</v>
      </c>
      <c r="J107" s="214" t="s">
        <v>18</v>
      </c>
    </row>
    <row r="108" spans="1:10" s="6" customFormat="1" ht="29.25" customHeight="1" x14ac:dyDescent="0.25">
      <c r="A108" s="380"/>
      <c r="B108" s="416"/>
      <c r="C108" s="416"/>
      <c r="D108" s="362"/>
      <c r="E108" s="362"/>
      <c r="F108" s="357" t="s">
        <v>570</v>
      </c>
      <c r="G108" s="343">
        <v>2362.43842</v>
      </c>
      <c r="H108" s="362"/>
      <c r="I108" s="214" t="s">
        <v>18</v>
      </c>
      <c r="J108" s="214" t="s">
        <v>18</v>
      </c>
    </row>
    <row r="109" spans="1:10" s="6" customFormat="1" ht="33" customHeight="1" x14ac:dyDescent="0.25">
      <c r="A109" s="380"/>
      <c r="B109" s="416"/>
      <c r="C109" s="416"/>
      <c r="D109" s="362"/>
      <c r="E109" s="362"/>
      <c r="F109" s="357" t="s">
        <v>571</v>
      </c>
      <c r="G109" s="343">
        <v>1091.5787800000001</v>
      </c>
      <c r="H109" s="362"/>
      <c r="I109" s="214" t="s">
        <v>18</v>
      </c>
      <c r="J109" s="214" t="s">
        <v>18</v>
      </c>
    </row>
    <row r="110" spans="1:10" s="6" customFormat="1" ht="71.25" customHeight="1" x14ac:dyDescent="0.25">
      <c r="A110" s="380" t="s">
        <v>40</v>
      </c>
      <c r="B110" s="416"/>
      <c r="C110" s="416"/>
      <c r="D110" s="362"/>
      <c r="E110" s="362"/>
      <c r="F110" s="357" t="s">
        <v>572</v>
      </c>
      <c r="G110" s="343">
        <v>381.88986999999997</v>
      </c>
      <c r="H110" s="362"/>
      <c r="I110" s="214" t="s">
        <v>18</v>
      </c>
      <c r="J110" s="214" t="s">
        <v>18</v>
      </c>
    </row>
    <row r="111" spans="1:10" s="6" customFormat="1" ht="28.5" x14ac:dyDescent="0.25">
      <c r="A111" s="380"/>
      <c r="B111" s="416"/>
      <c r="C111" s="416"/>
      <c r="D111" s="362"/>
      <c r="E111" s="362"/>
      <c r="F111" s="357" t="s">
        <v>387</v>
      </c>
      <c r="G111" s="343">
        <f>1902129.19/1000</f>
        <v>1902.1291899999999</v>
      </c>
      <c r="H111" s="362"/>
      <c r="I111" s="214"/>
      <c r="J111" s="214"/>
    </row>
    <row r="112" spans="1:10" s="6" customFormat="1" ht="28.5" x14ac:dyDescent="0.25">
      <c r="A112" s="380"/>
      <c r="B112" s="416"/>
      <c r="C112" s="416"/>
      <c r="D112" s="362"/>
      <c r="E112" s="362"/>
      <c r="F112" s="357" t="s">
        <v>320</v>
      </c>
      <c r="G112" s="343">
        <f>5108014.58/1000</f>
        <v>5108.01458</v>
      </c>
      <c r="H112" s="362"/>
      <c r="I112" s="214"/>
      <c r="J112" s="214"/>
    </row>
    <row r="113" spans="1:11" s="6" customFormat="1" ht="28.5" x14ac:dyDescent="0.25">
      <c r="A113" s="380"/>
      <c r="B113" s="416"/>
      <c r="C113" s="416"/>
      <c r="D113" s="362"/>
      <c r="E113" s="362"/>
      <c r="F113" s="357" t="s">
        <v>321</v>
      </c>
      <c r="G113" s="343">
        <f>5108014.58/1000</f>
        <v>5108.01458</v>
      </c>
      <c r="H113" s="362"/>
      <c r="I113" s="214"/>
      <c r="J113" s="214"/>
    </row>
    <row r="114" spans="1:11" s="6" customFormat="1" ht="28.5" x14ac:dyDescent="0.25">
      <c r="A114" s="380"/>
      <c r="B114" s="417"/>
      <c r="C114" s="417"/>
      <c r="D114" s="363"/>
      <c r="E114" s="363"/>
      <c r="F114" s="357" t="s">
        <v>322</v>
      </c>
      <c r="G114" s="343">
        <f>8358256.55/1000</f>
        <v>8358.2565500000001</v>
      </c>
      <c r="H114" s="363"/>
      <c r="I114" s="214"/>
      <c r="J114" s="214"/>
    </row>
    <row r="115" spans="1:11" s="6" customFormat="1" x14ac:dyDescent="0.25">
      <c r="A115" s="380"/>
      <c r="B115" s="423" t="s">
        <v>253</v>
      </c>
      <c r="C115" s="423"/>
      <c r="D115" s="228"/>
      <c r="E115" s="228"/>
      <c r="F115" s="357"/>
      <c r="G115" s="343"/>
      <c r="H115" s="228">
        <f>J115</f>
        <v>7794.6363789999996</v>
      </c>
      <c r="I115" s="214"/>
      <c r="J115" s="214">
        <v>7794.6363789999996</v>
      </c>
    </row>
    <row r="116" spans="1:11" s="6" customFormat="1" x14ac:dyDescent="0.25">
      <c r="A116" s="380"/>
      <c r="B116" s="423" t="s">
        <v>382</v>
      </c>
      <c r="C116" s="423"/>
      <c r="D116" s="228"/>
      <c r="E116" s="228"/>
      <c r="F116" s="214"/>
      <c r="G116" s="228"/>
      <c r="H116" s="214">
        <f>25472184.8966/1000</f>
        <v>25472.1848966</v>
      </c>
      <c r="I116" s="214"/>
      <c r="J116" s="214">
        <f>25472184.8966/1000</f>
        <v>25472.1848966</v>
      </c>
    </row>
    <row r="117" spans="1:11" s="6" customFormat="1" x14ac:dyDescent="0.25">
      <c r="A117" s="380"/>
      <c r="B117" s="423" t="s">
        <v>395</v>
      </c>
      <c r="C117" s="423"/>
      <c r="D117" s="228"/>
      <c r="E117" s="228"/>
      <c r="F117" s="214"/>
      <c r="G117" s="228"/>
      <c r="H117" s="214">
        <f>8191838.7278/1000</f>
        <v>8191.8387278</v>
      </c>
      <c r="I117" s="214"/>
      <c r="J117" s="214">
        <f>8191838.7278/1000</f>
        <v>8191.8387278</v>
      </c>
    </row>
    <row r="118" spans="1:11" s="6" customFormat="1" ht="28.5" x14ac:dyDescent="0.25">
      <c r="A118" s="380"/>
      <c r="B118" s="424" t="s">
        <v>59</v>
      </c>
      <c r="C118" s="214" t="s">
        <v>412</v>
      </c>
      <c r="D118" s="361">
        <f>30668.87*16/1000</f>
        <v>490.70191999999997</v>
      </c>
      <c r="E118" s="228">
        <f>G118</f>
        <v>61.337739999999997</v>
      </c>
      <c r="F118" s="357" t="s">
        <v>385</v>
      </c>
      <c r="G118" s="343">
        <f>61337.74/1000</f>
        <v>61.337739999999997</v>
      </c>
      <c r="H118" s="228">
        <f>J118</f>
        <v>61.337745200000001</v>
      </c>
      <c r="I118" s="214" t="s">
        <v>414</v>
      </c>
      <c r="J118" s="228">
        <f>61337.7452/1000</f>
        <v>61.337745200000001</v>
      </c>
    </row>
    <row r="119" spans="1:11" s="6" customFormat="1" ht="28.5" x14ac:dyDescent="0.25">
      <c r="A119" s="380"/>
      <c r="B119" s="416"/>
      <c r="C119" s="424" t="s">
        <v>413</v>
      </c>
      <c r="D119" s="362"/>
      <c r="E119" s="228">
        <f>G119</f>
        <v>30.668869999999998</v>
      </c>
      <c r="F119" s="357" t="s">
        <v>388</v>
      </c>
      <c r="G119" s="343">
        <f>30668.87/1000</f>
        <v>30.668869999999998</v>
      </c>
      <c r="H119" s="228">
        <f>J119</f>
        <v>30.6688726</v>
      </c>
      <c r="I119" s="214" t="s">
        <v>419</v>
      </c>
      <c r="J119" s="228">
        <f>30668.8726/1000</f>
        <v>30.6688726</v>
      </c>
    </row>
    <row r="120" spans="1:11" s="1" customFormat="1" ht="28.5" x14ac:dyDescent="0.25">
      <c r="A120" s="380"/>
      <c r="B120" s="417"/>
      <c r="C120" s="417"/>
      <c r="D120" s="363"/>
      <c r="E120" s="228"/>
      <c r="F120" s="214"/>
      <c r="G120" s="228"/>
      <c r="H120" s="228">
        <f>J120</f>
        <v>30.6688726</v>
      </c>
      <c r="I120" s="214" t="s">
        <v>446</v>
      </c>
      <c r="J120" s="228">
        <f>30668.8726/1000</f>
        <v>30.6688726</v>
      </c>
    </row>
    <row r="121" spans="1:11" s="1" customFormat="1" ht="95.25" customHeight="1" x14ac:dyDescent="0.25">
      <c r="A121" s="380"/>
      <c r="B121" s="316" t="s">
        <v>525</v>
      </c>
      <c r="C121" s="316" t="s">
        <v>526</v>
      </c>
      <c r="D121" s="315">
        <f>742800/1000</f>
        <v>742.8</v>
      </c>
      <c r="E121" s="314"/>
      <c r="F121" s="317"/>
      <c r="G121" s="314"/>
      <c r="H121" s="314">
        <f>J121</f>
        <v>742.80000540000003</v>
      </c>
      <c r="I121" s="317" t="s">
        <v>527</v>
      </c>
      <c r="J121" s="314">
        <f>629491.53*1.18/1000</f>
        <v>742.80000540000003</v>
      </c>
    </row>
    <row r="122" spans="1:11" s="6" customFormat="1" x14ac:dyDescent="0.25">
      <c r="A122" s="380"/>
      <c r="B122" s="423" t="s">
        <v>200</v>
      </c>
      <c r="C122" s="423"/>
      <c r="D122" s="214" t="s">
        <v>18</v>
      </c>
      <c r="E122" s="228">
        <f>G122</f>
        <v>130.7268</v>
      </c>
      <c r="F122" s="228" t="s">
        <v>18</v>
      </c>
      <c r="G122" s="228">
        <f>130726.8/1000</f>
        <v>130.7268</v>
      </c>
      <c r="H122" s="228">
        <f t="shared" ref="H122:H131" si="6">J122</f>
        <v>130.7268</v>
      </c>
      <c r="I122" s="228" t="s">
        <v>18</v>
      </c>
      <c r="J122" s="228">
        <f>130726.8/1000</f>
        <v>130.7268</v>
      </c>
    </row>
    <row r="123" spans="1:11" s="6" customFormat="1" x14ac:dyDescent="0.25">
      <c r="A123" s="380"/>
      <c r="B123" s="423" t="s">
        <v>248</v>
      </c>
      <c r="C123" s="423"/>
      <c r="D123" s="214" t="s">
        <v>18</v>
      </c>
      <c r="E123" s="228">
        <f t="shared" ref="E123:E128" si="7">G123</f>
        <v>62.11835</v>
      </c>
      <c r="F123" s="228" t="s">
        <v>18</v>
      </c>
      <c r="G123" s="228">
        <v>62.11835</v>
      </c>
      <c r="H123" s="228">
        <f t="shared" si="6"/>
        <v>62.11835</v>
      </c>
      <c r="I123" s="228" t="s">
        <v>18</v>
      </c>
      <c r="J123" s="228">
        <v>62.11835</v>
      </c>
    </row>
    <row r="124" spans="1:11" s="6" customFormat="1" x14ac:dyDescent="0.25">
      <c r="A124" s="380"/>
      <c r="B124" s="423" t="s">
        <v>249</v>
      </c>
      <c r="C124" s="423"/>
      <c r="D124" s="214" t="s">
        <v>18</v>
      </c>
      <c r="E124" s="228">
        <f t="shared" si="7"/>
        <v>41.845049999999986</v>
      </c>
      <c r="F124" s="228" t="s">
        <v>18</v>
      </c>
      <c r="G124" s="228">
        <v>41.845049999999986</v>
      </c>
      <c r="H124" s="228">
        <f t="shared" si="6"/>
        <v>41.845049999999986</v>
      </c>
      <c r="I124" s="228" t="s">
        <v>18</v>
      </c>
      <c r="J124" s="228">
        <v>41.845049999999986</v>
      </c>
    </row>
    <row r="125" spans="1:11" s="6" customFormat="1" x14ac:dyDescent="0.25">
      <c r="A125" s="380"/>
      <c r="B125" s="423" t="s">
        <v>250</v>
      </c>
      <c r="C125" s="423"/>
      <c r="D125" s="214" t="s">
        <v>18</v>
      </c>
      <c r="E125" s="228">
        <f t="shared" si="7"/>
        <v>112.54352</v>
      </c>
      <c r="F125" s="228" t="s">
        <v>18</v>
      </c>
      <c r="G125" s="228">
        <v>112.54352</v>
      </c>
      <c r="H125" s="228">
        <f t="shared" si="6"/>
        <v>112.54352</v>
      </c>
      <c r="I125" s="228" t="s">
        <v>18</v>
      </c>
      <c r="J125" s="228">
        <v>112.54352</v>
      </c>
    </row>
    <row r="126" spans="1:11" s="6" customFormat="1" x14ac:dyDescent="0.25">
      <c r="A126" s="380"/>
      <c r="B126" s="423" t="s">
        <v>379</v>
      </c>
      <c r="C126" s="423"/>
      <c r="D126" s="214" t="s">
        <v>18</v>
      </c>
      <c r="E126" s="228">
        <f t="shared" si="7"/>
        <v>203.01075</v>
      </c>
      <c r="F126" s="228" t="s">
        <v>18</v>
      </c>
      <c r="G126" s="228">
        <f>203010.75/1000</f>
        <v>203.01075</v>
      </c>
      <c r="H126" s="228">
        <f t="shared" si="6"/>
        <v>203.01075</v>
      </c>
      <c r="I126" s="228" t="s">
        <v>18</v>
      </c>
      <c r="J126" s="228">
        <f>203010.75/1000</f>
        <v>203.01075</v>
      </c>
    </row>
    <row r="127" spans="1:11" s="6" customFormat="1" x14ac:dyDescent="0.25">
      <c r="A127" s="380"/>
      <c r="B127" s="423" t="s">
        <v>380</v>
      </c>
      <c r="C127" s="423"/>
      <c r="D127" s="214" t="s">
        <v>18</v>
      </c>
      <c r="E127" s="228">
        <f t="shared" si="7"/>
        <v>416.14819</v>
      </c>
      <c r="F127" s="228" t="s">
        <v>18</v>
      </c>
      <c r="G127" s="228">
        <f>416148.19/1000</f>
        <v>416.14819</v>
      </c>
      <c r="H127" s="228">
        <f t="shared" si="6"/>
        <v>416.14819</v>
      </c>
      <c r="I127" s="228" t="s">
        <v>18</v>
      </c>
      <c r="J127" s="228">
        <f>416148.19/1000</f>
        <v>416.14819</v>
      </c>
      <c r="K127" s="13"/>
    </row>
    <row r="128" spans="1:11" s="6" customFormat="1" x14ac:dyDescent="0.25">
      <c r="A128" s="366"/>
      <c r="B128" s="423" t="s">
        <v>381</v>
      </c>
      <c r="C128" s="423"/>
      <c r="D128" s="214" t="s">
        <v>18</v>
      </c>
      <c r="E128" s="228">
        <f t="shared" si="7"/>
        <v>405.22330999999997</v>
      </c>
      <c r="F128" s="228" t="s">
        <v>18</v>
      </c>
      <c r="G128" s="228">
        <f>405223.31/1000</f>
        <v>405.22330999999997</v>
      </c>
      <c r="H128" s="228">
        <f t="shared" si="6"/>
        <v>405.22330999999997</v>
      </c>
      <c r="I128" s="228" t="s">
        <v>18</v>
      </c>
      <c r="J128" s="228">
        <f>405223.31/1000</f>
        <v>405.22330999999997</v>
      </c>
    </row>
    <row r="129" spans="1:11" s="6" customFormat="1" ht="15.75" thickBot="1" x14ac:dyDescent="0.3">
      <c r="A129" s="76"/>
      <c r="B129" s="69"/>
      <c r="C129" s="69"/>
      <c r="D129" s="69"/>
      <c r="E129" s="77"/>
      <c r="F129" s="77"/>
      <c r="G129" s="77"/>
      <c r="H129" s="77"/>
      <c r="I129" s="77"/>
      <c r="J129" s="77"/>
    </row>
    <row r="130" spans="1:11" s="6" customFormat="1" ht="28.5" x14ac:dyDescent="0.25">
      <c r="A130" s="379" t="s">
        <v>198</v>
      </c>
      <c r="B130" s="47" t="s">
        <v>468</v>
      </c>
      <c r="C130" s="241" t="s">
        <v>199</v>
      </c>
      <c r="D130" s="49">
        <v>19.6450058</v>
      </c>
      <c r="E130" s="49" t="str">
        <f>G130</f>
        <v>__</v>
      </c>
      <c r="F130" s="236" t="s">
        <v>18</v>
      </c>
      <c r="G130" s="236" t="s">
        <v>18</v>
      </c>
      <c r="H130" s="49">
        <f>J130</f>
        <v>19.6450058</v>
      </c>
      <c r="I130" s="231" t="s">
        <v>208</v>
      </c>
      <c r="J130" s="246">
        <v>19.6450058</v>
      </c>
    </row>
    <row r="131" spans="1:11" s="6" customFormat="1" ht="28.5" x14ac:dyDescent="0.25">
      <c r="A131" s="369"/>
      <c r="B131" s="443" t="s">
        <v>59</v>
      </c>
      <c r="C131" s="365" t="s">
        <v>218</v>
      </c>
      <c r="D131" s="367">
        <f>9009348.3/1000</f>
        <v>9009.3483000000015</v>
      </c>
      <c r="E131" s="367">
        <f>G131+G132</f>
        <v>9245.8022500000006</v>
      </c>
      <c r="F131" s="343" t="s">
        <v>319</v>
      </c>
      <c r="G131" s="343">
        <f>6631197.19/1000</f>
        <v>6631.1971900000008</v>
      </c>
      <c r="H131" s="250">
        <f t="shared" si="6"/>
        <v>2614.6050599999999</v>
      </c>
      <c r="I131" s="228" t="s">
        <v>254</v>
      </c>
      <c r="J131" s="247">
        <v>2614.6050599999999</v>
      </c>
    </row>
    <row r="132" spans="1:11" s="6" customFormat="1" ht="28.5" x14ac:dyDescent="0.25">
      <c r="A132" s="369"/>
      <c r="B132" s="445"/>
      <c r="C132" s="366"/>
      <c r="D132" s="368"/>
      <c r="E132" s="368"/>
      <c r="F132" s="353" t="s">
        <v>372</v>
      </c>
      <c r="G132" s="353">
        <f>2614605.06/1000</f>
        <v>2614.6050599999999</v>
      </c>
      <c r="H132" s="212"/>
      <c r="I132" s="232"/>
      <c r="J132" s="46"/>
    </row>
    <row r="133" spans="1:11" s="6" customFormat="1" ht="28.5" x14ac:dyDescent="0.25">
      <c r="A133" s="369"/>
      <c r="B133" s="133" t="s">
        <v>263</v>
      </c>
      <c r="C133" s="218" t="s">
        <v>264</v>
      </c>
      <c r="D133" s="212">
        <f>66177229.59/1000</f>
        <v>66177.229590000003</v>
      </c>
      <c r="E133" s="212">
        <f t="shared" ref="E133:E153" si="8">G133</f>
        <v>19853.168879999997</v>
      </c>
      <c r="F133" s="353" t="s">
        <v>573</v>
      </c>
      <c r="G133" s="352">
        <v>19853.168879999997</v>
      </c>
      <c r="H133" s="338">
        <f t="shared" ref="H133" si="9">J133</f>
        <v>66177.229592799995</v>
      </c>
      <c r="I133" s="339" t="s">
        <v>495</v>
      </c>
      <c r="J133" s="338">
        <f>66177229.5928/1000</f>
        <v>66177.229592799995</v>
      </c>
    </row>
    <row r="134" spans="1:11" s="6" customFormat="1" ht="28.5" x14ac:dyDescent="0.25">
      <c r="A134" s="369"/>
      <c r="B134" s="133" t="s">
        <v>59</v>
      </c>
      <c r="C134" s="218" t="s">
        <v>626</v>
      </c>
      <c r="D134" s="212">
        <f>70330.36/1000</f>
        <v>70.330359999999999</v>
      </c>
      <c r="E134" s="308">
        <f>SUM(G134:G134)</f>
        <v>0</v>
      </c>
      <c r="F134" s="353"/>
      <c r="G134" s="352"/>
      <c r="H134" s="212">
        <f>J134</f>
        <v>70.330359999999999</v>
      </c>
      <c r="I134" s="232" t="s">
        <v>444</v>
      </c>
      <c r="J134" s="107">
        <f>70330.36/1000</f>
        <v>70.330359999999999</v>
      </c>
      <c r="K134" s="281"/>
    </row>
    <row r="135" spans="1:11" s="6" customFormat="1" ht="28.5" x14ac:dyDescent="0.25">
      <c r="A135" s="369"/>
      <c r="B135" s="133" t="s">
        <v>59</v>
      </c>
      <c r="C135" s="218" t="s">
        <v>488</v>
      </c>
      <c r="D135" s="212">
        <f>5175579/1000</f>
        <v>5175.5789999999997</v>
      </c>
      <c r="E135" s="308"/>
      <c r="F135" s="232"/>
      <c r="G135" s="206"/>
      <c r="H135" s="212">
        <f>J135</f>
        <v>5175.5790020000004</v>
      </c>
      <c r="I135" s="232" t="s">
        <v>489</v>
      </c>
      <c r="J135" s="107">
        <f>5175579.002/1000</f>
        <v>5175.5790020000004</v>
      </c>
    </row>
    <row r="136" spans="1:11" s="6" customFormat="1" ht="28.5" x14ac:dyDescent="0.25">
      <c r="A136" s="369"/>
      <c r="B136" s="133" t="s">
        <v>59</v>
      </c>
      <c r="C136" s="218" t="s">
        <v>627</v>
      </c>
      <c r="D136" s="212">
        <f>5084043/1000</f>
        <v>5084.0429999999997</v>
      </c>
      <c r="E136" s="308"/>
      <c r="F136" s="232"/>
      <c r="G136" s="206"/>
      <c r="H136" s="212">
        <f>J136</f>
        <v>5084.0430036000007</v>
      </c>
      <c r="I136" s="232" t="s">
        <v>491</v>
      </c>
      <c r="J136" s="107">
        <f>5084043.0036/1000</f>
        <v>5084.0430036000007</v>
      </c>
    </row>
    <row r="137" spans="1:11" s="6" customFormat="1" ht="28.5" x14ac:dyDescent="0.25">
      <c r="A137" s="369"/>
      <c r="B137" s="443" t="s">
        <v>469</v>
      </c>
      <c r="C137" s="365" t="s">
        <v>470</v>
      </c>
      <c r="D137" s="439">
        <f>227158850.84/1000</f>
        <v>227158.85084</v>
      </c>
      <c r="E137" s="212"/>
      <c r="F137" s="232"/>
      <c r="G137" s="206"/>
      <c r="H137" s="212">
        <f>J137</f>
        <v>11679.742825200001</v>
      </c>
      <c r="I137" s="232" t="s">
        <v>471</v>
      </c>
      <c r="J137" s="107">
        <f>11679742.8252/1000</f>
        <v>11679.742825200001</v>
      </c>
    </row>
    <row r="138" spans="1:11" s="6" customFormat="1" ht="28.5" x14ac:dyDescent="0.25">
      <c r="A138" s="369"/>
      <c r="B138" s="444"/>
      <c r="C138" s="380"/>
      <c r="D138" s="440"/>
      <c r="E138" s="212"/>
      <c r="F138" s="232"/>
      <c r="G138" s="206"/>
      <c r="H138" s="212">
        <f t="shared" ref="H138:H139" si="10">J138</f>
        <v>2222.7392140000002</v>
      </c>
      <c r="I138" s="232" t="s">
        <v>471</v>
      </c>
      <c r="J138" s="107">
        <f>2222739.214/1000</f>
        <v>2222.7392140000002</v>
      </c>
    </row>
    <row r="139" spans="1:11" s="6" customFormat="1" ht="28.5" x14ac:dyDescent="0.25">
      <c r="A139" s="369"/>
      <c r="B139" s="445"/>
      <c r="C139" s="366"/>
      <c r="D139" s="441"/>
      <c r="E139" s="212"/>
      <c r="F139" s="232"/>
      <c r="G139" s="206"/>
      <c r="H139" s="212">
        <f t="shared" si="10"/>
        <v>7436.4529486000001</v>
      </c>
      <c r="I139" s="232" t="s">
        <v>471</v>
      </c>
      <c r="J139" s="107">
        <f>7436452.9486/1000</f>
        <v>7436.4529486000001</v>
      </c>
    </row>
    <row r="140" spans="1:11" s="6" customFormat="1" ht="42.75" x14ac:dyDescent="0.25">
      <c r="A140" s="369"/>
      <c r="B140" s="214" t="s">
        <v>448</v>
      </c>
      <c r="C140" s="214" t="s">
        <v>447</v>
      </c>
      <c r="D140" s="228">
        <f>13944000.01/1000</f>
        <v>13944.00001</v>
      </c>
      <c r="E140" s="228"/>
      <c r="F140" s="214"/>
      <c r="G140" s="228"/>
      <c r="H140" s="228">
        <f t="shared" ref="H140:H146" si="11">J140</f>
        <v>13944.0000206</v>
      </c>
      <c r="I140" s="214" t="s">
        <v>449</v>
      </c>
      <c r="J140" s="228">
        <f>13944000.0206/1000</f>
        <v>13944.0000206</v>
      </c>
    </row>
    <row r="141" spans="1:11" s="6" customFormat="1" ht="28.5" x14ac:dyDescent="0.25">
      <c r="A141" s="369"/>
      <c r="B141" s="233" t="s">
        <v>498</v>
      </c>
      <c r="C141" s="233" t="s">
        <v>497</v>
      </c>
      <c r="D141" s="228">
        <f>347226/1000</f>
        <v>347.226</v>
      </c>
      <c r="E141" s="228"/>
      <c r="F141" s="214"/>
      <c r="G141" s="228"/>
      <c r="H141" s="228">
        <f t="shared" si="11"/>
        <v>35.225999999999999</v>
      </c>
      <c r="I141" s="214" t="s">
        <v>499</v>
      </c>
      <c r="J141" s="228">
        <v>35.225999999999999</v>
      </c>
    </row>
    <row r="142" spans="1:11" s="6" customFormat="1" ht="28.5" x14ac:dyDescent="0.25">
      <c r="A142" s="369"/>
      <c r="B142" s="365" t="s">
        <v>232</v>
      </c>
      <c r="C142" s="365" t="s">
        <v>233</v>
      </c>
      <c r="D142" s="228"/>
      <c r="E142" s="228"/>
      <c r="F142" s="214"/>
      <c r="G142" s="228"/>
      <c r="H142" s="228">
        <f t="shared" si="11"/>
        <v>627.47999779999998</v>
      </c>
      <c r="I142" s="214" t="s">
        <v>450</v>
      </c>
      <c r="J142" s="228">
        <f>627479.9978/1000</f>
        <v>627.47999779999998</v>
      </c>
    </row>
    <row r="143" spans="1:11" s="6" customFormat="1" ht="28.5" x14ac:dyDescent="0.25">
      <c r="A143" s="369"/>
      <c r="B143" s="380"/>
      <c r="C143" s="380"/>
      <c r="D143" s="212"/>
      <c r="E143" s="212"/>
      <c r="F143" s="232"/>
      <c r="G143" s="206"/>
      <c r="H143" s="212">
        <f t="shared" si="11"/>
        <v>748.37112760000002</v>
      </c>
      <c r="I143" s="232" t="s">
        <v>492</v>
      </c>
      <c r="J143" s="107">
        <f>748371.1276/1000</f>
        <v>748.37112760000002</v>
      </c>
    </row>
    <row r="144" spans="1:11" s="6" customFormat="1" ht="28.5" x14ac:dyDescent="0.25">
      <c r="A144" s="369"/>
      <c r="B144" s="380"/>
      <c r="C144" s="380"/>
      <c r="D144" s="212"/>
      <c r="E144" s="212"/>
      <c r="F144" s="232"/>
      <c r="G144" s="206"/>
      <c r="H144" s="212">
        <f t="shared" si="11"/>
        <v>1320.8077598000002</v>
      </c>
      <c r="I144" s="232" t="s">
        <v>493</v>
      </c>
      <c r="J144" s="107">
        <f>1320807.7598/1000</f>
        <v>1320.8077598000002</v>
      </c>
    </row>
    <row r="145" spans="1:10" s="6" customFormat="1" ht="28.5" x14ac:dyDescent="0.25">
      <c r="A145" s="369"/>
      <c r="B145" s="366"/>
      <c r="C145" s="366"/>
      <c r="D145" s="212"/>
      <c r="E145" s="212"/>
      <c r="F145" s="232"/>
      <c r="G145" s="206"/>
      <c r="H145" s="212">
        <f t="shared" si="11"/>
        <v>36364.387674199999</v>
      </c>
      <c r="I145" s="232" t="s">
        <v>496</v>
      </c>
      <c r="J145" s="107">
        <f>36364387.6742/1000</f>
        <v>36364.387674199999</v>
      </c>
    </row>
    <row r="146" spans="1:10" s="6" customFormat="1" ht="15" customHeight="1" x14ac:dyDescent="0.25">
      <c r="A146" s="369"/>
      <c r="B146" s="388" t="s">
        <v>400</v>
      </c>
      <c r="C146" s="389"/>
      <c r="D146" s="367"/>
      <c r="E146" s="367">
        <f>G146+G147+G148+G149</f>
        <v>11.400679999999999</v>
      </c>
      <c r="F146" s="309" t="s">
        <v>424</v>
      </c>
      <c r="G146" s="310">
        <f>2850.17/1000</f>
        <v>2.8501699999999999</v>
      </c>
      <c r="H146" s="367">
        <f t="shared" si="11"/>
        <v>11.4</v>
      </c>
      <c r="I146" s="361" t="s">
        <v>396</v>
      </c>
      <c r="J146" s="439">
        <f>11400/1000</f>
        <v>11.4</v>
      </c>
    </row>
    <row r="147" spans="1:10" s="6" customFormat="1" x14ac:dyDescent="0.25">
      <c r="A147" s="369"/>
      <c r="B147" s="390"/>
      <c r="C147" s="391"/>
      <c r="D147" s="384"/>
      <c r="E147" s="384"/>
      <c r="F147" s="309" t="s">
        <v>425</v>
      </c>
      <c r="G147" s="310">
        <f t="shared" ref="G147:G149" si="12">2850.17/1000</f>
        <v>2.8501699999999999</v>
      </c>
      <c r="H147" s="384"/>
      <c r="I147" s="362"/>
      <c r="J147" s="440"/>
    </row>
    <row r="148" spans="1:10" s="6" customFormat="1" x14ac:dyDescent="0.25">
      <c r="A148" s="369"/>
      <c r="B148" s="390"/>
      <c r="C148" s="391"/>
      <c r="D148" s="384"/>
      <c r="E148" s="384"/>
      <c r="F148" s="309" t="s">
        <v>426</v>
      </c>
      <c r="G148" s="310">
        <f t="shared" si="12"/>
        <v>2.8501699999999999</v>
      </c>
      <c r="H148" s="384"/>
      <c r="I148" s="362"/>
      <c r="J148" s="440"/>
    </row>
    <row r="149" spans="1:10" s="6" customFormat="1" x14ac:dyDescent="0.25">
      <c r="A149" s="369"/>
      <c r="B149" s="392"/>
      <c r="C149" s="393"/>
      <c r="D149" s="368"/>
      <c r="E149" s="368"/>
      <c r="F149" s="309" t="s">
        <v>427</v>
      </c>
      <c r="G149" s="310">
        <f t="shared" si="12"/>
        <v>2.8501699999999999</v>
      </c>
      <c r="H149" s="368"/>
      <c r="I149" s="363"/>
      <c r="J149" s="441"/>
    </row>
    <row r="150" spans="1:10" s="6" customFormat="1" ht="99.75" x14ac:dyDescent="0.25">
      <c r="A150" s="369"/>
      <c r="B150" s="388" t="s">
        <v>516</v>
      </c>
      <c r="C150" s="389"/>
      <c r="D150" s="250"/>
      <c r="E150" s="250">
        <f t="shared" si="8"/>
        <v>2.4373</v>
      </c>
      <c r="F150" s="343" t="s">
        <v>399</v>
      </c>
      <c r="G150" s="310">
        <f>2437.3/1000</f>
        <v>2.4373</v>
      </c>
      <c r="H150" s="250">
        <f t="shared" ref="H150:H153" si="13">J150</f>
        <v>2.4373</v>
      </c>
      <c r="I150" s="228" t="s">
        <v>399</v>
      </c>
      <c r="J150" s="310">
        <f>2437.3/1000</f>
        <v>2.4373</v>
      </c>
    </row>
    <row r="151" spans="1:10" s="6" customFormat="1" ht="99.75" x14ac:dyDescent="0.25">
      <c r="A151" s="369"/>
      <c r="B151" s="390"/>
      <c r="C151" s="391"/>
      <c r="D151" s="250"/>
      <c r="E151" s="250">
        <f t="shared" si="8"/>
        <v>2.3384</v>
      </c>
      <c r="F151" s="343" t="s">
        <v>398</v>
      </c>
      <c r="G151" s="310">
        <f>2338.4/1000</f>
        <v>2.3384</v>
      </c>
      <c r="H151" s="250">
        <f t="shared" si="13"/>
        <v>2.3384</v>
      </c>
      <c r="I151" s="228" t="s">
        <v>398</v>
      </c>
      <c r="J151" s="310">
        <f>2338.4/1000</f>
        <v>2.3384</v>
      </c>
    </row>
    <row r="152" spans="1:10" s="6" customFormat="1" x14ac:dyDescent="0.25">
      <c r="A152" s="369"/>
      <c r="B152" s="390"/>
      <c r="C152" s="391"/>
      <c r="D152" s="250"/>
      <c r="E152" s="250">
        <f t="shared" si="8"/>
        <v>5.85182</v>
      </c>
      <c r="F152" s="421" t="s">
        <v>397</v>
      </c>
      <c r="G152" s="310">
        <v>5.85182</v>
      </c>
      <c r="H152" s="250">
        <f t="shared" si="13"/>
        <v>5.85182</v>
      </c>
      <c r="I152" s="421" t="s">
        <v>397</v>
      </c>
      <c r="J152" s="310">
        <f>5851.82/1000</f>
        <v>5.85182</v>
      </c>
    </row>
    <row r="153" spans="1:10" s="6" customFormat="1" ht="27.75" customHeight="1" thickBot="1" x14ac:dyDescent="0.3">
      <c r="A153" s="369"/>
      <c r="B153" s="394"/>
      <c r="C153" s="395"/>
      <c r="D153" s="212"/>
      <c r="E153" s="212">
        <f t="shared" si="8"/>
        <v>2.1</v>
      </c>
      <c r="F153" s="361"/>
      <c r="G153" s="352">
        <v>2.1</v>
      </c>
      <c r="H153" s="212">
        <f t="shared" si="13"/>
        <v>2.1</v>
      </c>
      <c r="I153" s="361"/>
      <c r="J153" s="206">
        <f>2100/1000</f>
        <v>2.1</v>
      </c>
    </row>
    <row r="154" spans="1:10" s="6" customFormat="1" ht="28.5" x14ac:dyDescent="0.25">
      <c r="A154" s="385" t="s">
        <v>68</v>
      </c>
      <c r="B154" s="438" t="s">
        <v>69</v>
      </c>
      <c r="C154" s="438" t="s">
        <v>70</v>
      </c>
      <c r="D154" s="438">
        <v>76117.5</v>
      </c>
      <c r="E154" s="420">
        <f>SUM(G154:G156)</f>
        <v>68500.004159999997</v>
      </c>
      <c r="F154" s="231" t="s">
        <v>574</v>
      </c>
      <c r="G154" s="342">
        <v>18686.76355</v>
      </c>
      <c r="H154" s="420">
        <f>SUM(J154:J156)</f>
        <v>14586.2296054</v>
      </c>
      <c r="I154" s="231" t="s">
        <v>72</v>
      </c>
      <c r="J154" s="246">
        <f>1581261.2*1.18/1000</f>
        <v>1865.8882159999998</v>
      </c>
    </row>
    <row r="155" spans="1:10" s="6" customFormat="1" ht="28.5" x14ac:dyDescent="0.25">
      <c r="A155" s="386"/>
      <c r="B155" s="364"/>
      <c r="C155" s="364"/>
      <c r="D155" s="364"/>
      <c r="E155" s="421"/>
      <c r="F155" s="357" t="s">
        <v>18</v>
      </c>
      <c r="G155" s="343" t="s">
        <v>18</v>
      </c>
      <c r="H155" s="421"/>
      <c r="I155" s="214" t="s">
        <v>73</v>
      </c>
      <c r="J155" s="247">
        <v>11356.159224999999</v>
      </c>
    </row>
    <row r="156" spans="1:10" s="6" customFormat="1" ht="28.5" x14ac:dyDescent="0.25">
      <c r="A156" s="386"/>
      <c r="B156" s="364"/>
      <c r="C156" s="364"/>
      <c r="D156" s="364"/>
      <c r="E156" s="421"/>
      <c r="F156" s="357" t="s">
        <v>575</v>
      </c>
      <c r="G156" s="343">
        <f>49813240.61/1000</f>
        <v>49813.240610000001</v>
      </c>
      <c r="H156" s="421"/>
      <c r="I156" s="214" t="s">
        <v>165</v>
      </c>
      <c r="J156" s="247">
        <f>(1156086.58/1000)*1.18</f>
        <v>1364.1821644000001</v>
      </c>
    </row>
    <row r="157" spans="1:10" s="6" customFormat="1" x14ac:dyDescent="0.25">
      <c r="A157" s="386"/>
      <c r="B157" s="364" t="s">
        <v>74</v>
      </c>
      <c r="C157" s="364"/>
      <c r="D157" s="214" t="s">
        <v>18</v>
      </c>
      <c r="E157" s="214" t="str">
        <f>G157</f>
        <v>__</v>
      </c>
      <c r="F157" s="357" t="s">
        <v>18</v>
      </c>
      <c r="G157" s="357" t="s">
        <v>18</v>
      </c>
      <c r="H157" s="228">
        <f>J157</f>
        <v>20560.291975</v>
      </c>
      <c r="I157" s="228" t="s">
        <v>18</v>
      </c>
      <c r="J157" s="247">
        <f>541.66779+19644.6171198+374.0070652</f>
        <v>20560.291975</v>
      </c>
    </row>
    <row r="158" spans="1:10" s="6" customFormat="1" ht="57.75" thickBot="1" x14ac:dyDescent="0.3">
      <c r="A158" s="387"/>
      <c r="B158" s="230" t="s">
        <v>167</v>
      </c>
      <c r="C158" s="230" t="s">
        <v>161</v>
      </c>
      <c r="D158" s="229">
        <v>99456.01</v>
      </c>
      <c r="E158" s="229">
        <f>G158</f>
        <v>99.45599</v>
      </c>
      <c r="F158" s="183" t="s">
        <v>576</v>
      </c>
      <c r="G158" s="349">
        <f>99455.99/1000</f>
        <v>99.45599</v>
      </c>
      <c r="H158" s="542">
        <f>J158</f>
        <v>99.455993199999995</v>
      </c>
      <c r="I158" s="543" t="s">
        <v>166</v>
      </c>
      <c r="J158" s="544">
        <f>(84284.74/1000)*1.18</f>
        <v>99.455993199999995</v>
      </c>
    </row>
    <row r="159" spans="1:10" s="6" customFormat="1" ht="28.5" customHeight="1" x14ac:dyDescent="0.25">
      <c r="A159" s="379" t="s">
        <v>75</v>
      </c>
      <c r="B159" s="380" t="s">
        <v>76</v>
      </c>
      <c r="C159" s="380" t="s">
        <v>77</v>
      </c>
      <c r="D159" s="362">
        <f>1445500/1000</f>
        <v>1445.5</v>
      </c>
      <c r="E159" s="362">
        <f>SUM(G159:G160)</f>
        <v>671.73586</v>
      </c>
      <c r="F159" s="356" t="s">
        <v>577</v>
      </c>
      <c r="G159" s="350">
        <f>335867.93/1000</f>
        <v>335.86793</v>
      </c>
      <c r="H159" s="222">
        <f>SUM(J159:J159)</f>
        <v>0</v>
      </c>
      <c r="I159" s="224" t="s">
        <v>18</v>
      </c>
      <c r="J159" s="66" t="s">
        <v>18</v>
      </c>
    </row>
    <row r="160" spans="1:10" s="6" customFormat="1" ht="28.5" x14ac:dyDescent="0.25">
      <c r="A160" s="369"/>
      <c r="B160" s="366"/>
      <c r="C160" s="366"/>
      <c r="D160" s="363"/>
      <c r="E160" s="363"/>
      <c r="F160" s="356" t="s">
        <v>375</v>
      </c>
      <c r="G160" s="350">
        <f>335867.93/1000</f>
        <v>335.86793</v>
      </c>
      <c r="H160" s="222"/>
      <c r="I160" s="224"/>
      <c r="J160" s="66"/>
    </row>
    <row r="161" spans="1:10" s="6" customFormat="1" ht="42.75" x14ac:dyDescent="0.25">
      <c r="A161" s="369"/>
      <c r="B161" s="225" t="s">
        <v>219</v>
      </c>
      <c r="C161" s="225" t="s">
        <v>220</v>
      </c>
      <c r="D161" s="228">
        <f>2193887.84/1000</f>
        <v>2193.8878399999999</v>
      </c>
      <c r="E161" s="228">
        <f>SUM(G161:G161)</f>
        <v>2193.8878399999999</v>
      </c>
      <c r="F161" s="357" t="s">
        <v>374</v>
      </c>
      <c r="G161" s="343">
        <f>2193887.84/1000</f>
        <v>2193.8878399999999</v>
      </c>
      <c r="H161" s="228">
        <f>J161</f>
        <v>1504.7760137999999</v>
      </c>
      <c r="I161" s="214" t="s">
        <v>238</v>
      </c>
      <c r="J161" s="247">
        <v>1504.7760137999999</v>
      </c>
    </row>
    <row r="162" spans="1:10" s="6" customFormat="1" ht="28.5" x14ac:dyDescent="0.25">
      <c r="A162" s="369"/>
      <c r="B162" s="225" t="s">
        <v>219</v>
      </c>
      <c r="C162" s="225" t="s">
        <v>338</v>
      </c>
      <c r="D162" s="250">
        <f>122040.9/1000</f>
        <v>122.04089999999999</v>
      </c>
      <c r="E162" s="228"/>
      <c r="F162" s="357"/>
      <c r="G162" s="343"/>
      <c r="H162" s="228">
        <f>J162</f>
        <v>48.816364</v>
      </c>
      <c r="I162" s="214" t="s">
        <v>464</v>
      </c>
      <c r="J162" s="247">
        <f>48816.364/1000</f>
        <v>48.816364</v>
      </c>
    </row>
    <row r="163" spans="1:10" s="6" customFormat="1" ht="42.75" x14ac:dyDescent="0.25">
      <c r="A163" s="369"/>
      <c r="B163" s="225" t="s">
        <v>223</v>
      </c>
      <c r="C163" s="225" t="s">
        <v>224</v>
      </c>
      <c r="D163" s="228">
        <f>86009.11/1000</f>
        <v>86.009110000000007</v>
      </c>
      <c r="E163" s="228">
        <f t="shared" ref="E163" si="14">SUM(G163:G163)</f>
        <v>0</v>
      </c>
      <c r="F163" s="357"/>
      <c r="G163" s="343"/>
      <c r="H163" s="228">
        <f>J163</f>
        <v>86.009114399999987</v>
      </c>
      <c r="I163" s="214" t="s">
        <v>245</v>
      </c>
      <c r="J163" s="247">
        <v>86.009114399999987</v>
      </c>
    </row>
    <row r="164" spans="1:10" s="6" customFormat="1" ht="42.75" x14ac:dyDescent="0.25">
      <c r="A164" s="369"/>
      <c r="B164" s="225" t="s">
        <v>234</v>
      </c>
      <c r="C164" s="225" t="s">
        <v>235</v>
      </c>
      <c r="D164" s="228">
        <f>200000/1000</f>
        <v>200</v>
      </c>
      <c r="E164" s="228">
        <f>SUM(G164:G164)</f>
        <v>100</v>
      </c>
      <c r="F164" s="357" t="s">
        <v>373</v>
      </c>
      <c r="G164" s="343">
        <f>100000/1000</f>
        <v>100</v>
      </c>
      <c r="H164" s="228">
        <f>J164</f>
        <v>200</v>
      </c>
      <c r="I164" s="228" t="s">
        <v>296</v>
      </c>
      <c r="J164" s="247">
        <v>200</v>
      </c>
    </row>
    <row r="165" spans="1:10" s="6" customFormat="1" ht="42.75" x14ac:dyDescent="0.25">
      <c r="A165" s="369"/>
      <c r="B165" s="225" t="s">
        <v>463</v>
      </c>
      <c r="C165" s="225" t="s">
        <v>475</v>
      </c>
      <c r="D165" s="228">
        <f>253356.17/1000</f>
        <v>253.35617000000002</v>
      </c>
      <c r="E165" s="228">
        <f>SUM(G165:G165)</f>
        <v>253.35617000000002</v>
      </c>
      <c r="F165" s="357" t="s">
        <v>392</v>
      </c>
      <c r="G165" s="343">
        <f>253356.17/1000</f>
        <v>253.35617000000002</v>
      </c>
      <c r="H165" s="228"/>
      <c r="I165" s="228"/>
      <c r="J165" s="247"/>
    </row>
    <row r="166" spans="1:10" s="6" customFormat="1" ht="28.5" x14ac:dyDescent="0.25">
      <c r="A166" s="369"/>
      <c r="B166" s="225" t="s">
        <v>281</v>
      </c>
      <c r="C166" s="225" t="s">
        <v>282</v>
      </c>
      <c r="D166" s="228">
        <f>345834.18/1000</f>
        <v>345.83418</v>
      </c>
      <c r="E166" s="228">
        <f>SUM(G166:G166)</f>
        <v>345.83418</v>
      </c>
      <c r="F166" s="357" t="s">
        <v>578</v>
      </c>
      <c r="G166" s="343">
        <v>345.83418</v>
      </c>
      <c r="H166" s="228"/>
      <c r="I166" s="214"/>
      <c r="J166" s="247"/>
    </row>
    <row r="167" spans="1:10" s="6" customFormat="1" ht="28.5" x14ac:dyDescent="0.25">
      <c r="A167" s="369"/>
      <c r="B167" s="225" t="s">
        <v>284</v>
      </c>
      <c r="C167" s="225" t="s">
        <v>285</v>
      </c>
      <c r="D167" s="228">
        <f>358920/1000</f>
        <v>358.92</v>
      </c>
      <c r="E167" s="228">
        <f>SUM(G167:G167)</f>
        <v>358.92</v>
      </c>
      <c r="F167" s="357" t="s">
        <v>579</v>
      </c>
      <c r="G167" s="343">
        <v>358.92</v>
      </c>
      <c r="H167" s="228"/>
      <c r="I167" s="214"/>
      <c r="J167" s="247"/>
    </row>
    <row r="168" spans="1:10" s="6" customFormat="1" ht="42.75" customHeight="1" x14ac:dyDescent="0.25">
      <c r="A168" s="369" t="s">
        <v>75</v>
      </c>
      <c r="B168" s="365" t="s">
        <v>324</v>
      </c>
      <c r="C168" s="365" t="s">
        <v>323</v>
      </c>
      <c r="D168" s="365">
        <f>4477500/1000</f>
        <v>4477.5</v>
      </c>
      <c r="E168" s="381">
        <f>G168</f>
        <v>431.04002000000003</v>
      </c>
      <c r="F168" s="381" t="s">
        <v>325</v>
      </c>
      <c r="G168" s="381">
        <f>431040.02/1000</f>
        <v>431.04002000000003</v>
      </c>
      <c r="H168" s="232">
        <f t="shared" ref="H168:H183" si="15">J168</f>
        <v>431.04001699999998</v>
      </c>
      <c r="I168" s="233" t="s">
        <v>436</v>
      </c>
      <c r="J168" s="46">
        <v>431.04001699999998</v>
      </c>
    </row>
    <row r="169" spans="1:10" s="1" customFormat="1" ht="28.5" x14ac:dyDescent="0.25">
      <c r="A169" s="369"/>
      <c r="B169" s="380"/>
      <c r="C169" s="380"/>
      <c r="D169" s="380"/>
      <c r="E169" s="382"/>
      <c r="F169" s="382"/>
      <c r="G169" s="382"/>
      <c r="H169" s="232">
        <f t="shared" si="15"/>
        <v>235.68648579999999</v>
      </c>
      <c r="I169" s="233" t="s">
        <v>467</v>
      </c>
      <c r="J169" s="46">
        <f>235686.4858/1000</f>
        <v>235.68648579999999</v>
      </c>
    </row>
    <row r="170" spans="1:10" s="1" customFormat="1" ht="28.5" x14ac:dyDescent="0.25">
      <c r="A170" s="369"/>
      <c r="B170" s="366"/>
      <c r="C170" s="366"/>
      <c r="D170" s="366"/>
      <c r="E170" s="383"/>
      <c r="F170" s="383"/>
      <c r="G170" s="383"/>
      <c r="H170" s="232">
        <f t="shared" si="15"/>
        <v>1626.2579578</v>
      </c>
      <c r="I170" s="233" t="s">
        <v>474</v>
      </c>
      <c r="J170" s="46">
        <f>1626257.9578/1000</f>
        <v>1626.2579578</v>
      </c>
    </row>
    <row r="171" spans="1:10" s="6" customFormat="1" ht="57" customHeight="1" x14ac:dyDescent="0.25">
      <c r="A171" s="369"/>
      <c r="B171" s="365" t="s">
        <v>327</v>
      </c>
      <c r="C171" s="365" t="s">
        <v>326</v>
      </c>
      <c r="D171" s="367">
        <f>6585309/1000</f>
        <v>6585.3090000000002</v>
      </c>
      <c r="E171" s="367">
        <f t="shared" ref="E171:E190" si="16">G171</f>
        <v>647.75118999999995</v>
      </c>
      <c r="F171" s="358" t="s">
        <v>328</v>
      </c>
      <c r="G171" s="358">
        <f>647751.19/1000</f>
        <v>647.75118999999995</v>
      </c>
      <c r="H171" s="232">
        <f t="shared" si="15"/>
        <v>647.75119419999999</v>
      </c>
      <c r="I171" s="233" t="s">
        <v>435</v>
      </c>
      <c r="J171" s="46">
        <f>647751.1942/1000</f>
        <v>647.75119419999999</v>
      </c>
    </row>
    <row r="172" spans="1:10" s="1" customFormat="1" ht="28.5" x14ac:dyDescent="0.25">
      <c r="A172" s="369"/>
      <c r="B172" s="380"/>
      <c r="C172" s="380"/>
      <c r="D172" s="384"/>
      <c r="E172" s="384"/>
      <c r="F172" s="313"/>
      <c r="G172" s="313"/>
      <c r="H172" s="232">
        <f t="shared" si="15"/>
        <v>1346.8377809999999</v>
      </c>
      <c r="I172" s="233" t="s">
        <v>454</v>
      </c>
      <c r="J172" s="46">
        <f>1346837.781/1000</f>
        <v>1346.8377809999999</v>
      </c>
    </row>
    <row r="173" spans="1:10" s="1" customFormat="1" ht="28.5" x14ac:dyDescent="0.25">
      <c r="A173" s="369"/>
      <c r="B173" s="380"/>
      <c r="C173" s="380"/>
      <c r="D173" s="384"/>
      <c r="E173" s="384"/>
      <c r="F173" s="313"/>
      <c r="G173" s="313"/>
      <c r="H173" s="232">
        <f t="shared" si="15"/>
        <v>26.648081600000001</v>
      </c>
      <c r="I173" s="233" t="s">
        <v>482</v>
      </c>
      <c r="J173" s="46">
        <f>26648.0816/1000</f>
        <v>26.648081600000001</v>
      </c>
    </row>
    <row r="174" spans="1:10" s="1" customFormat="1" ht="28.5" x14ac:dyDescent="0.25">
      <c r="A174" s="369"/>
      <c r="B174" s="366"/>
      <c r="C174" s="366"/>
      <c r="D174" s="368"/>
      <c r="E174" s="368"/>
      <c r="F174" s="313"/>
      <c r="G174" s="313"/>
      <c r="H174" s="232">
        <f t="shared" si="15"/>
        <v>114.4530852</v>
      </c>
      <c r="I174" s="233" t="s">
        <v>483</v>
      </c>
      <c r="J174" s="46">
        <f>114453.0852/1000</f>
        <v>114.4530852</v>
      </c>
    </row>
    <row r="175" spans="1:10" s="6" customFormat="1" ht="28.5" customHeight="1" x14ac:dyDescent="0.25">
      <c r="A175" s="369"/>
      <c r="B175" s="365" t="s">
        <v>327</v>
      </c>
      <c r="C175" s="365" t="s">
        <v>329</v>
      </c>
      <c r="D175" s="367">
        <f>6188666.61/1000</f>
        <v>6188.6666100000002</v>
      </c>
      <c r="E175" s="361">
        <f>G175</f>
        <v>536.0761</v>
      </c>
      <c r="F175" s="354" t="s">
        <v>330</v>
      </c>
      <c r="G175" s="353">
        <f>536076.1/1000</f>
        <v>536.0761</v>
      </c>
      <c r="H175" s="232">
        <f t="shared" si="15"/>
        <v>536.07610039999997</v>
      </c>
      <c r="I175" s="233" t="s">
        <v>434</v>
      </c>
      <c r="J175" s="46">
        <f>536076.1004/1000</f>
        <v>536.07610039999997</v>
      </c>
    </row>
    <row r="176" spans="1:10" s="1" customFormat="1" ht="28.5" x14ac:dyDescent="0.25">
      <c r="A176" s="369"/>
      <c r="B176" s="380"/>
      <c r="C176" s="380"/>
      <c r="D176" s="384"/>
      <c r="E176" s="380"/>
      <c r="F176" s="354"/>
      <c r="G176" s="353"/>
      <c r="H176" s="232">
        <f t="shared" si="15"/>
        <v>197.02563839999999</v>
      </c>
      <c r="I176" s="233" t="s">
        <v>451</v>
      </c>
      <c r="J176" s="46">
        <f>197025.6384/1000</f>
        <v>197.02563839999999</v>
      </c>
    </row>
    <row r="177" spans="1:10" s="1" customFormat="1" ht="28.5" x14ac:dyDescent="0.25">
      <c r="A177" s="369"/>
      <c r="B177" s="380"/>
      <c r="C177" s="380"/>
      <c r="D177" s="384"/>
      <c r="E177" s="380"/>
      <c r="F177" s="354"/>
      <c r="G177" s="353"/>
      <c r="H177" s="232">
        <f t="shared" si="15"/>
        <v>87.41128479999999</v>
      </c>
      <c r="I177" s="233" t="s">
        <v>456</v>
      </c>
      <c r="J177" s="46">
        <f>87411.2848/1000</f>
        <v>87.41128479999999</v>
      </c>
    </row>
    <row r="178" spans="1:10" s="1" customFormat="1" ht="28.5" x14ac:dyDescent="0.25">
      <c r="A178" s="369"/>
      <c r="B178" s="366"/>
      <c r="C178" s="366"/>
      <c r="D178" s="368"/>
      <c r="E178" s="366"/>
      <c r="F178" s="233"/>
      <c r="G178" s="232"/>
      <c r="H178" s="232">
        <f t="shared" si="15"/>
        <v>2026.8283216</v>
      </c>
      <c r="I178" s="233" t="s">
        <v>457</v>
      </c>
      <c r="J178" s="46">
        <f>2026828.3216/1000</f>
        <v>2026.8283216</v>
      </c>
    </row>
    <row r="179" spans="1:10" s="6" customFormat="1" ht="57.75" customHeight="1" x14ac:dyDescent="0.25">
      <c r="A179" s="369"/>
      <c r="B179" s="365" t="s">
        <v>327</v>
      </c>
      <c r="C179" s="365" t="s">
        <v>331</v>
      </c>
      <c r="D179" s="367">
        <f>3210937.42/1000</f>
        <v>3210.9374199999997</v>
      </c>
      <c r="E179" s="367">
        <f>G179</f>
        <v>221.35526999999999</v>
      </c>
      <c r="F179" s="354" t="s">
        <v>332</v>
      </c>
      <c r="G179" s="353">
        <f>221355.27/1000</f>
        <v>221.35526999999999</v>
      </c>
      <c r="H179" s="232">
        <f t="shared" si="15"/>
        <v>221.35526780000001</v>
      </c>
      <c r="I179" s="233" t="s">
        <v>433</v>
      </c>
      <c r="J179" s="46">
        <f>221355.2678/1000</f>
        <v>221.35526780000001</v>
      </c>
    </row>
    <row r="180" spans="1:10" s="1" customFormat="1" ht="28.5" x14ac:dyDescent="0.25">
      <c r="A180" s="369"/>
      <c r="B180" s="380"/>
      <c r="C180" s="380"/>
      <c r="D180" s="384"/>
      <c r="E180" s="384"/>
      <c r="F180" s="354"/>
      <c r="G180" s="353"/>
      <c r="H180" s="232">
        <f t="shared" si="15"/>
        <v>1832.6509672</v>
      </c>
      <c r="I180" s="233" t="s">
        <v>452</v>
      </c>
      <c r="J180" s="107">
        <f>1832650.9672/1000</f>
        <v>1832.6509672</v>
      </c>
    </row>
    <row r="181" spans="1:10" s="1" customFormat="1" ht="28.5" x14ac:dyDescent="0.25">
      <c r="A181" s="369"/>
      <c r="B181" s="366"/>
      <c r="C181" s="366"/>
      <c r="D181" s="368"/>
      <c r="E181" s="368"/>
      <c r="F181" s="354"/>
      <c r="G181" s="353"/>
      <c r="H181" s="232">
        <f t="shared" si="15"/>
        <v>283.15186779999999</v>
      </c>
      <c r="I181" s="233" t="s">
        <v>455</v>
      </c>
      <c r="J181" s="107">
        <f>283151.8678/1000</f>
        <v>283.15186779999999</v>
      </c>
    </row>
    <row r="182" spans="1:10" s="1" customFormat="1" ht="28.5" x14ac:dyDescent="0.25">
      <c r="A182" s="369"/>
      <c r="B182" s="365" t="s">
        <v>327</v>
      </c>
      <c r="C182" s="365" t="s">
        <v>458</v>
      </c>
      <c r="D182" s="361">
        <f>3037271.3/1000</f>
        <v>3037.2712999999999</v>
      </c>
      <c r="E182" s="361">
        <f>G182</f>
        <v>0</v>
      </c>
      <c r="F182" s="354"/>
      <c r="G182" s="353"/>
      <c r="H182" s="232">
        <f t="shared" si="15"/>
        <v>631.0779475999999</v>
      </c>
      <c r="I182" s="233" t="s">
        <v>459</v>
      </c>
      <c r="J182" s="107">
        <f>631077.9476/1000</f>
        <v>631.0779475999999</v>
      </c>
    </row>
    <row r="183" spans="1:10" s="1" customFormat="1" ht="28.5" x14ac:dyDescent="0.25">
      <c r="A183" s="369"/>
      <c r="B183" s="366"/>
      <c r="C183" s="366"/>
      <c r="D183" s="363"/>
      <c r="E183" s="363"/>
      <c r="F183" s="354"/>
      <c r="G183" s="353"/>
      <c r="H183" s="232">
        <f t="shared" si="15"/>
        <v>1766.3474988</v>
      </c>
      <c r="I183" s="233" t="s">
        <v>460</v>
      </c>
      <c r="J183" s="107">
        <f>1766347.4988/1000</f>
        <v>1766.3474988</v>
      </c>
    </row>
    <row r="184" spans="1:10" s="6" customFormat="1" ht="28.5" x14ac:dyDescent="0.25">
      <c r="A184" s="369"/>
      <c r="B184" s="365" t="s">
        <v>333</v>
      </c>
      <c r="C184" s="365" t="s">
        <v>334</v>
      </c>
      <c r="D184" s="367">
        <f>5559050/1000</f>
        <v>5559.05</v>
      </c>
      <c r="E184" s="367">
        <f t="shared" si="16"/>
        <v>873.47049000000004</v>
      </c>
      <c r="F184" s="354" t="s">
        <v>335</v>
      </c>
      <c r="G184" s="353">
        <f>873470.49/1000</f>
        <v>873.47049000000004</v>
      </c>
      <c r="H184" s="232">
        <f>J184</f>
        <v>873.47049140000001</v>
      </c>
      <c r="I184" s="233" t="s">
        <v>438</v>
      </c>
      <c r="J184" s="107">
        <f>873470.4914/1000</f>
        <v>873.47049140000001</v>
      </c>
    </row>
    <row r="185" spans="1:10" s="1" customFormat="1" ht="28.5" x14ac:dyDescent="0.25">
      <c r="A185" s="369"/>
      <c r="B185" s="366"/>
      <c r="C185" s="366"/>
      <c r="D185" s="368"/>
      <c r="E185" s="368"/>
      <c r="F185" s="354"/>
      <c r="G185" s="353"/>
      <c r="H185" s="232">
        <f>J185</f>
        <v>2495.9578654000002</v>
      </c>
      <c r="I185" s="233" t="s">
        <v>461</v>
      </c>
      <c r="J185" s="107">
        <f>2495957.8654/1000</f>
        <v>2495.9578654000002</v>
      </c>
    </row>
    <row r="186" spans="1:10" s="6" customFormat="1" ht="28.5" x14ac:dyDescent="0.25">
      <c r="A186" s="369"/>
      <c r="B186" s="365" t="s">
        <v>333</v>
      </c>
      <c r="C186" s="365" t="s">
        <v>336</v>
      </c>
      <c r="D186" s="367">
        <f>4018319/1000</f>
        <v>4018.319</v>
      </c>
      <c r="E186" s="367">
        <f t="shared" si="16"/>
        <v>245.58645000000001</v>
      </c>
      <c r="F186" s="354" t="s">
        <v>337</v>
      </c>
      <c r="G186" s="353">
        <f>245586.45/1000</f>
        <v>245.58645000000001</v>
      </c>
      <c r="H186" s="232">
        <f>J186</f>
        <v>245.5864498</v>
      </c>
      <c r="I186" s="233" t="s">
        <v>437</v>
      </c>
      <c r="J186" s="107">
        <f>245586.4498/1000</f>
        <v>245.5864498</v>
      </c>
    </row>
    <row r="187" spans="1:10" s="1" customFormat="1" ht="28.5" x14ac:dyDescent="0.25">
      <c r="A187" s="369"/>
      <c r="B187" s="366"/>
      <c r="C187" s="366"/>
      <c r="D187" s="368"/>
      <c r="E187" s="368"/>
      <c r="F187" s="354"/>
      <c r="G187" s="353"/>
      <c r="H187" s="232">
        <f>J187</f>
        <v>2430.8543743999999</v>
      </c>
      <c r="I187" s="233" t="s">
        <v>453</v>
      </c>
      <c r="J187" s="107">
        <f>2430854.3744/1000</f>
        <v>2430.8543743999999</v>
      </c>
    </row>
    <row r="188" spans="1:10" s="6" customFormat="1" ht="28.5" x14ac:dyDescent="0.25">
      <c r="A188" s="369"/>
      <c r="B188" s="218" t="s">
        <v>339</v>
      </c>
      <c r="C188" s="218" t="s">
        <v>338</v>
      </c>
      <c r="D188" s="232">
        <f>122040.9/1000</f>
        <v>122.04089999999999</v>
      </c>
      <c r="E188" s="232">
        <f t="shared" si="16"/>
        <v>48.816360000000003</v>
      </c>
      <c r="F188" s="354" t="s">
        <v>340</v>
      </c>
      <c r="G188" s="353">
        <f>48816.36/1000</f>
        <v>48.816360000000003</v>
      </c>
      <c r="H188" s="232">
        <f>J188</f>
        <v>48.816364</v>
      </c>
      <c r="I188" s="233" t="s">
        <v>445</v>
      </c>
      <c r="J188" s="107">
        <f>48816.364/1000</f>
        <v>48.816364</v>
      </c>
    </row>
    <row r="189" spans="1:10" s="6" customFormat="1" ht="42.75" x14ac:dyDescent="0.25">
      <c r="A189" s="369"/>
      <c r="B189" s="218" t="s">
        <v>341</v>
      </c>
      <c r="C189" s="218" t="s">
        <v>342</v>
      </c>
      <c r="D189" s="232">
        <f>502248/1000</f>
        <v>502.24799999999999</v>
      </c>
      <c r="E189" s="232">
        <f t="shared" si="16"/>
        <v>502.24799999999999</v>
      </c>
      <c r="F189" s="354" t="s">
        <v>343</v>
      </c>
      <c r="G189" s="353">
        <f>502248/1000</f>
        <v>502.24799999999999</v>
      </c>
      <c r="H189" s="232"/>
      <c r="I189" s="233"/>
      <c r="J189" s="107"/>
    </row>
    <row r="190" spans="1:10" s="6" customFormat="1" ht="28.5" x14ac:dyDescent="0.25">
      <c r="A190" s="369"/>
      <c r="B190" s="218" t="s">
        <v>346</v>
      </c>
      <c r="C190" s="218" t="s">
        <v>345</v>
      </c>
      <c r="D190" s="232">
        <f>2392346/1000</f>
        <v>2392.346</v>
      </c>
      <c r="E190" s="232">
        <f t="shared" si="16"/>
        <v>299.08600000000001</v>
      </c>
      <c r="F190" s="354" t="s">
        <v>344</v>
      </c>
      <c r="G190" s="353">
        <f>299086/1000</f>
        <v>299.08600000000001</v>
      </c>
      <c r="H190" s="232"/>
      <c r="I190" s="233"/>
      <c r="J190" s="107"/>
    </row>
    <row r="191" spans="1:10" s="6" customFormat="1" ht="28.5" x14ac:dyDescent="0.25">
      <c r="A191" s="369"/>
      <c r="B191" s="365" t="s">
        <v>476</v>
      </c>
      <c r="C191" s="365" t="s">
        <v>477</v>
      </c>
      <c r="D191" s="361">
        <f>3417825/1000</f>
        <v>3417.8249999999998</v>
      </c>
      <c r="E191" s="361"/>
      <c r="F191" s="354"/>
      <c r="G191" s="353"/>
      <c r="H191" s="232">
        <f t="shared" ref="H191:H196" si="17">J191</f>
        <v>1010.784047</v>
      </c>
      <c r="I191" s="233" t="s">
        <v>478</v>
      </c>
      <c r="J191" s="107">
        <f>1010784.047/1000</f>
        <v>1010.784047</v>
      </c>
    </row>
    <row r="192" spans="1:10" s="6" customFormat="1" ht="28.5" x14ac:dyDescent="0.25">
      <c r="A192" s="369"/>
      <c r="B192" s="366"/>
      <c r="C192" s="366"/>
      <c r="D192" s="363"/>
      <c r="E192" s="363"/>
      <c r="F192" s="233"/>
      <c r="G192" s="232"/>
      <c r="H192" s="232">
        <f t="shared" si="17"/>
        <v>1301.5933832000001</v>
      </c>
      <c r="I192" s="233" t="s">
        <v>472</v>
      </c>
      <c r="J192" s="107">
        <f>1301593.3832/1000</f>
        <v>1301.5933832000001</v>
      </c>
    </row>
    <row r="193" spans="1:10" s="6" customFormat="1" ht="28.5" x14ac:dyDescent="0.25">
      <c r="A193" s="369"/>
      <c r="B193" s="365" t="s">
        <v>501</v>
      </c>
      <c r="C193" s="365" t="s">
        <v>500</v>
      </c>
      <c r="D193" s="367">
        <f>6102267.2/1000</f>
        <v>6102.2672000000002</v>
      </c>
      <c r="E193" s="361"/>
      <c r="F193" s="233"/>
      <c r="G193" s="232"/>
      <c r="H193" s="232">
        <f t="shared" si="17"/>
        <v>1095.7199986000001</v>
      </c>
      <c r="I193" s="233" t="s">
        <v>508</v>
      </c>
      <c r="J193" s="107">
        <f>1095719.9986/1000</f>
        <v>1095.7199986000001</v>
      </c>
    </row>
    <row r="194" spans="1:10" s="6" customFormat="1" ht="28.5" x14ac:dyDescent="0.25">
      <c r="A194" s="369"/>
      <c r="B194" s="366"/>
      <c r="C194" s="366"/>
      <c r="D194" s="368"/>
      <c r="E194" s="363"/>
      <c r="F194" s="233"/>
      <c r="G194" s="232"/>
      <c r="H194" s="232">
        <f t="shared" si="17"/>
        <v>2114.0671966</v>
      </c>
      <c r="I194" s="233" t="s">
        <v>507</v>
      </c>
      <c r="J194" s="107">
        <f>2114067.1966/1000</f>
        <v>2114.0671966</v>
      </c>
    </row>
    <row r="195" spans="1:10" s="6" customFormat="1" ht="28.5" x14ac:dyDescent="0.25">
      <c r="A195" s="369"/>
      <c r="B195" s="365" t="s">
        <v>511</v>
      </c>
      <c r="C195" s="365" t="s">
        <v>510</v>
      </c>
      <c r="D195" s="367">
        <f>3468000/1000</f>
        <v>3468</v>
      </c>
      <c r="E195" s="365"/>
      <c r="F195" s="233"/>
      <c r="G195" s="232"/>
      <c r="H195" s="232">
        <f t="shared" si="17"/>
        <v>634.00000520000003</v>
      </c>
      <c r="I195" s="233" t="s">
        <v>512</v>
      </c>
      <c r="J195" s="107">
        <f>634000.0052/1000</f>
        <v>634.00000520000003</v>
      </c>
    </row>
    <row r="196" spans="1:10" s="6" customFormat="1" ht="28.5" x14ac:dyDescent="0.25">
      <c r="A196" s="369"/>
      <c r="B196" s="366"/>
      <c r="C196" s="366"/>
      <c r="D196" s="368"/>
      <c r="E196" s="366"/>
      <c r="F196" s="233"/>
      <c r="G196" s="232"/>
      <c r="H196" s="232">
        <f t="shared" si="17"/>
        <v>1059.9999943999999</v>
      </c>
      <c r="I196" s="233" t="s">
        <v>512</v>
      </c>
      <c r="J196" s="107">
        <f>1059999.9944/1000</f>
        <v>1059.9999943999999</v>
      </c>
    </row>
    <row r="197" spans="1:10" s="6" customFormat="1" ht="28.5" x14ac:dyDescent="0.25">
      <c r="A197" s="369"/>
      <c r="B197" s="371" t="s">
        <v>232</v>
      </c>
      <c r="C197" s="371" t="s">
        <v>233</v>
      </c>
      <c r="D197" s="371"/>
      <c r="E197" s="361">
        <f>SUM(G197:G201)</f>
        <v>1128.3400601999999</v>
      </c>
      <c r="F197" s="357" t="s">
        <v>536</v>
      </c>
      <c r="G197" s="343">
        <v>108.9639494</v>
      </c>
      <c r="H197" s="361">
        <f>SUM(J197:J201)</f>
        <v>875.06436460000009</v>
      </c>
      <c r="I197" s="214" t="s">
        <v>513</v>
      </c>
      <c r="J197" s="228">
        <f>173145.4002/1000</f>
        <v>173.14540020000001</v>
      </c>
    </row>
    <row r="198" spans="1:10" s="6" customFormat="1" ht="28.5" x14ac:dyDescent="0.25">
      <c r="A198" s="369"/>
      <c r="B198" s="372"/>
      <c r="C198" s="372"/>
      <c r="D198" s="372"/>
      <c r="E198" s="362"/>
      <c r="F198" s="357" t="s">
        <v>528</v>
      </c>
      <c r="G198" s="343">
        <f>863878.06*1.18/1000</f>
        <v>1019.3761108</v>
      </c>
      <c r="H198" s="362"/>
      <c r="I198" s="214" t="s">
        <v>513</v>
      </c>
      <c r="J198" s="228">
        <f>289486.0016/1000</f>
        <v>289.48600160000001</v>
      </c>
    </row>
    <row r="199" spans="1:10" s="6" customFormat="1" ht="28.5" x14ac:dyDescent="0.25">
      <c r="A199" s="369"/>
      <c r="B199" s="372"/>
      <c r="C199" s="372" t="s">
        <v>233</v>
      </c>
      <c r="D199" s="372"/>
      <c r="E199" s="362"/>
      <c r="F199" s="309"/>
      <c r="G199" s="309"/>
      <c r="H199" s="362"/>
      <c r="I199" s="214" t="s">
        <v>481</v>
      </c>
      <c r="J199" s="228">
        <f>2543.136/1000</f>
        <v>2.5431360000000001</v>
      </c>
    </row>
    <row r="200" spans="1:10" s="6" customFormat="1" ht="28.5" x14ac:dyDescent="0.25">
      <c r="A200" s="369"/>
      <c r="B200" s="372"/>
      <c r="C200" s="372"/>
      <c r="D200" s="372"/>
      <c r="E200" s="362"/>
      <c r="F200" s="357"/>
      <c r="G200" s="343"/>
      <c r="H200" s="362"/>
      <c r="I200" s="214" t="s">
        <v>502</v>
      </c>
      <c r="J200" s="228">
        <f>139923.4442/1000</f>
        <v>139.92344420000001</v>
      </c>
    </row>
    <row r="201" spans="1:10" s="6" customFormat="1" ht="28.5" x14ac:dyDescent="0.25">
      <c r="A201" s="369"/>
      <c r="B201" s="373"/>
      <c r="C201" s="373"/>
      <c r="D201" s="373"/>
      <c r="E201" s="363"/>
      <c r="F201" s="357"/>
      <c r="G201" s="343"/>
      <c r="H201" s="363"/>
      <c r="I201" s="214" t="s">
        <v>509</v>
      </c>
      <c r="J201" s="228">
        <f>269966.3826/1000</f>
        <v>269.96638260000003</v>
      </c>
    </row>
    <row r="202" spans="1:10" s="6" customFormat="1" x14ac:dyDescent="0.25">
      <c r="A202" s="369"/>
      <c r="B202" s="374" t="s">
        <v>395</v>
      </c>
      <c r="C202" s="375"/>
      <c r="D202" s="376"/>
      <c r="E202" s="232"/>
      <c r="F202" s="354"/>
      <c r="G202" s="107"/>
      <c r="H202" s="232">
        <f t="shared" ref="H202:H203" si="18">J202</f>
        <v>1099.7328009999999</v>
      </c>
      <c r="I202" s="233"/>
      <c r="J202" s="107">
        <f>1099732.801/1000</f>
        <v>1099.7328009999999</v>
      </c>
    </row>
    <row r="203" spans="1:10" s="6" customFormat="1" ht="15.75" thickBot="1" x14ac:dyDescent="0.3">
      <c r="A203" s="370"/>
      <c r="B203" s="371" t="s">
        <v>484</v>
      </c>
      <c r="C203" s="377"/>
      <c r="D203" s="378"/>
      <c r="E203" s="232"/>
      <c r="F203" s="354"/>
      <c r="G203" s="107"/>
      <c r="H203" s="232">
        <f t="shared" si="18"/>
        <v>7837.8547403999992</v>
      </c>
      <c r="I203" s="233"/>
      <c r="J203" s="107">
        <f>7837854.7404/1000</f>
        <v>7837.8547403999992</v>
      </c>
    </row>
    <row r="204" spans="1:10" s="6" customFormat="1" ht="28.5" customHeight="1" x14ac:dyDescent="0.25">
      <c r="A204" s="426" t="s">
        <v>314</v>
      </c>
      <c r="B204" s="438" t="s">
        <v>316</v>
      </c>
      <c r="C204" s="438" t="s">
        <v>315</v>
      </c>
      <c r="D204" s="420">
        <f>20211000/1000</f>
        <v>20211</v>
      </c>
      <c r="E204" s="420">
        <f>SUM(G204:G206)</f>
        <v>6501.286039999999</v>
      </c>
      <c r="F204" s="231" t="s">
        <v>318</v>
      </c>
      <c r="G204" s="342">
        <f>4687617.85/1000</f>
        <v>4687.6178499999996</v>
      </c>
      <c r="H204" s="420">
        <f>SUM(J204:J206)</f>
        <v>13191.359511399998</v>
      </c>
      <c r="I204" s="231" t="s">
        <v>423</v>
      </c>
      <c r="J204" s="246">
        <f>4687617.85/1000</f>
        <v>4687.6178499999996</v>
      </c>
    </row>
    <row r="205" spans="1:10" s="6" customFormat="1" ht="28.5" x14ac:dyDescent="0.25">
      <c r="A205" s="435"/>
      <c r="B205" s="364"/>
      <c r="C205" s="364"/>
      <c r="D205" s="421"/>
      <c r="E205" s="421"/>
      <c r="F205" s="357" t="s">
        <v>317</v>
      </c>
      <c r="G205" s="343">
        <f>1813668.19/1000</f>
        <v>1813.6681899999999</v>
      </c>
      <c r="H205" s="421"/>
      <c r="I205" s="214" t="s">
        <v>430</v>
      </c>
      <c r="J205" s="247">
        <f>1813668.1892/1000</f>
        <v>1813.6681891999999</v>
      </c>
    </row>
    <row r="206" spans="1:10" s="6" customFormat="1" ht="28.5" x14ac:dyDescent="0.25">
      <c r="A206" s="435"/>
      <c r="B206" s="364"/>
      <c r="C206" s="364"/>
      <c r="D206" s="421"/>
      <c r="E206" s="421"/>
      <c r="F206" s="357"/>
      <c r="G206" s="343"/>
      <c r="H206" s="421"/>
      <c r="I206" s="214" t="s">
        <v>462</v>
      </c>
      <c r="J206" s="247">
        <f>6690073.4722/1000</f>
        <v>6690.0734721999997</v>
      </c>
    </row>
    <row r="207" spans="1:10" s="1" customFormat="1" ht="28.5" x14ac:dyDescent="0.25">
      <c r="A207" s="435"/>
      <c r="B207" s="364" t="s">
        <v>501</v>
      </c>
      <c r="C207" s="364" t="s">
        <v>503</v>
      </c>
      <c r="D207" s="364">
        <f>2365450/1000</f>
        <v>2365.4499999999998</v>
      </c>
      <c r="E207" s="364"/>
      <c r="F207" s="357"/>
      <c r="G207" s="343"/>
      <c r="H207" s="228">
        <f>J207</f>
        <v>508.75999719999999</v>
      </c>
      <c r="I207" s="214" t="s">
        <v>504</v>
      </c>
      <c r="J207" s="247">
        <f>508759.9972/1000</f>
        <v>508.75999719999999</v>
      </c>
    </row>
    <row r="208" spans="1:10" s="1" customFormat="1" ht="28.5" x14ac:dyDescent="0.25">
      <c r="A208" s="435"/>
      <c r="B208" s="364"/>
      <c r="C208" s="364"/>
      <c r="D208" s="364"/>
      <c r="E208" s="364"/>
      <c r="F208" s="357"/>
      <c r="G208" s="343"/>
      <c r="H208" s="228">
        <f>J208</f>
        <v>944.8399948</v>
      </c>
      <c r="I208" s="214" t="s">
        <v>506</v>
      </c>
      <c r="J208" s="247">
        <f>944839.9948/1000</f>
        <v>944.8399948</v>
      </c>
    </row>
    <row r="209" spans="1:11" s="6" customFormat="1" ht="28.5" x14ac:dyDescent="0.25">
      <c r="A209" s="435"/>
      <c r="B209" s="225" t="s">
        <v>359</v>
      </c>
      <c r="C209" s="225" t="s">
        <v>358</v>
      </c>
      <c r="D209" s="228">
        <f>1057770.72/1000</f>
        <v>1057.77072</v>
      </c>
      <c r="E209" s="228">
        <f>G209</f>
        <v>528.59153000000003</v>
      </c>
      <c r="F209" s="357" t="s">
        <v>360</v>
      </c>
      <c r="G209" s="343">
        <f>528591.53/1000</f>
        <v>528.59153000000003</v>
      </c>
      <c r="H209" s="228"/>
      <c r="I209" s="214"/>
      <c r="J209" s="247"/>
    </row>
    <row r="210" spans="1:11" s="6" customFormat="1" ht="28.5" x14ac:dyDescent="0.25">
      <c r="A210" s="435"/>
      <c r="B210" s="225" t="s">
        <v>86</v>
      </c>
      <c r="C210" s="225" t="s">
        <v>441</v>
      </c>
      <c r="D210" s="228">
        <f>2079000/1000</f>
        <v>2079</v>
      </c>
      <c r="E210" s="228">
        <f>G210</f>
        <v>0</v>
      </c>
      <c r="F210" s="357"/>
      <c r="G210" s="343"/>
      <c r="H210" s="228">
        <f>J210</f>
        <v>1708.8981249999999</v>
      </c>
      <c r="I210" s="214" t="s">
        <v>442</v>
      </c>
      <c r="J210" s="247">
        <f>1708898.125/1000</f>
        <v>1708.8981249999999</v>
      </c>
    </row>
    <row r="211" spans="1:11" s="6" customFormat="1" ht="28.5" x14ac:dyDescent="0.25">
      <c r="A211" s="435"/>
      <c r="B211" s="364" t="s">
        <v>232</v>
      </c>
      <c r="C211" s="364" t="s">
        <v>233</v>
      </c>
      <c r="D211" s="364"/>
      <c r="E211" s="437">
        <f>SUM(G211:G211)</f>
        <v>801.58969400000001</v>
      </c>
      <c r="F211" s="357" t="s">
        <v>528</v>
      </c>
      <c r="G211" s="343">
        <f>679313.3*1.18/1000</f>
        <v>801.58969400000001</v>
      </c>
      <c r="H211" s="421">
        <f>SUM(J211:J213)</f>
        <v>702.52059920000011</v>
      </c>
      <c r="I211" s="214" t="s">
        <v>481</v>
      </c>
      <c r="J211" s="247">
        <f>166432.923/1000</f>
        <v>166.43292300000002</v>
      </c>
      <c r="K211" s="332">
        <f>G211+G198+G19+G238</f>
        <v>3436.7538232000002</v>
      </c>
    </row>
    <row r="212" spans="1:11" s="6" customFormat="1" ht="28.5" x14ac:dyDescent="0.25">
      <c r="A212" s="435"/>
      <c r="B212" s="364"/>
      <c r="C212" s="364"/>
      <c r="D212" s="364"/>
      <c r="E212" s="437"/>
      <c r="F212" s="357"/>
      <c r="G212" s="343"/>
      <c r="H212" s="421"/>
      <c r="I212" s="214" t="s">
        <v>505</v>
      </c>
      <c r="J212" s="247">
        <f>187630.6908/1000</f>
        <v>187.63069080000002</v>
      </c>
    </row>
    <row r="213" spans="1:11" s="6" customFormat="1" ht="28.5" x14ac:dyDescent="0.25">
      <c r="A213" s="435"/>
      <c r="B213" s="364"/>
      <c r="C213" s="364"/>
      <c r="D213" s="364"/>
      <c r="E213" s="437"/>
      <c r="F213" s="214"/>
      <c r="G213" s="228"/>
      <c r="H213" s="421"/>
      <c r="I213" s="214" t="s">
        <v>514</v>
      </c>
      <c r="J213" s="247">
        <f>348456.9854/1000</f>
        <v>348.45698540000001</v>
      </c>
    </row>
    <row r="214" spans="1:11" s="6" customFormat="1" x14ac:dyDescent="0.25">
      <c r="A214" s="435"/>
      <c r="B214" s="364" t="s">
        <v>394</v>
      </c>
      <c r="C214" s="364"/>
      <c r="D214" s="228"/>
      <c r="E214" s="228">
        <f>G214</f>
        <v>0</v>
      </c>
      <c r="F214" s="214"/>
      <c r="G214" s="228"/>
      <c r="H214" s="228">
        <f>J214</f>
        <v>2664.7743648000001</v>
      </c>
      <c r="I214" s="214"/>
      <c r="J214" s="247">
        <f>2664774.3648/1000</f>
        <v>2664.7743648000001</v>
      </c>
    </row>
    <row r="215" spans="1:11" s="6" customFormat="1" ht="15.75" thickBot="1" x14ac:dyDescent="0.3">
      <c r="A215" s="427"/>
      <c r="B215" s="432" t="s">
        <v>439</v>
      </c>
      <c r="C215" s="432"/>
      <c r="D215" s="229"/>
      <c r="E215" s="229"/>
      <c r="F215" s="183"/>
      <c r="G215" s="229"/>
      <c r="H215" s="229">
        <f>J215</f>
        <v>2604.9101091999996</v>
      </c>
      <c r="I215" s="183"/>
      <c r="J215" s="252">
        <f>2604910.1092/1000</f>
        <v>2604.9101091999996</v>
      </c>
    </row>
    <row r="216" spans="1:11" s="6" customFormat="1" ht="54.75" customHeight="1" x14ac:dyDescent="0.25">
      <c r="A216" s="433" t="s">
        <v>79</v>
      </c>
      <c r="B216" s="220" t="s">
        <v>80</v>
      </c>
      <c r="C216" s="220" t="s">
        <v>81</v>
      </c>
      <c r="D216" s="222">
        <f>8181813.14/1000</f>
        <v>8181.8131399999993</v>
      </c>
      <c r="E216" s="222">
        <f>SUM(G216:G216)</f>
        <v>0</v>
      </c>
      <c r="F216" s="220" t="s">
        <v>18</v>
      </c>
      <c r="G216" s="222" t="s">
        <v>18</v>
      </c>
      <c r="H216" s="222">
        <f>SUM(J216:J216)</f>
        <v>0</v>
      </c>
      <c r="I216" s="220" t="s">
        <v>18</v>
      </c>
      <c r="J216" s="66" t="s">
        <v>18</v>
      </c>
    </row>
    <row r="217" spans="1:11" s="6" customFormat="1" ht="28.5" x14ac:dyDescent="0.25">
      <c r="A217" s="435"/>
      <c r="B217" s="225" t="s">
        <v>82</v>
      </c>
      <c r="C217" s="225" t="s">
        <v>83</v>
      </c>
      <c r="D217" s="228">
        <f>514893.6/1000</f>
        <v>514.89359999999999</v>
      </c>
      <c r="E217" s="228">
        <f>G217</f>
        <v>514.89359999999999</v>
      </c>
      <c r="F217" s="341" t="s">
        <v>580</v>
      </c>
      <c r="G217" s="343">
        <f>514893.6/1000</f>
        <v>514.89359999999999</v>
      </c>
      <c r="H217" s="343">
        <f>SUM(J217:J217)</f>
        <v>0</v>
      </c>
      <c r="I217" s="341" t="s">
        <v>18</v>
      </c>
      <c r="J217" s="43" t="s">
        <v>18</v>
      </c>
    </row>
    <row r="218" spans="1:11" s="6" customFormat="1" ht="32.25" customHeight="1" x14ac:dyDescent="0.25">
      <c r="A218" s="435"/>
      <c r="B218" s="364" t="s">
        <v>158</v>
      </c>
      <c r="C218" s="364" t="s">
        <v>162</v>
      </c>
      <c r="D218" s="421">
        <f>1870809/1000</f>
        <v>1870.809</v>
      </c>
      <c r="E218" s="421">
        <f>G218+G219+G220</f>
        <v>1870.80927</v>
      </c>
      <c r="F218" s="341" t="s">
        <v>581</v>
      </c>
      <c r="G218" s="343">
        <f>426279.58/1000</f>
        <v>426.27958000000001</v>
      </c>
      <c r="H218" s="343">
        <f t="shared" ref="H218:H220" si="19">SUM(J218:J218)</f>
        <v>0</v>
      </c>
      <c r="I218" s="341" t="s">
        <v>18</v>
      </c>
      <c r="J218" s="43" t="s">
        <v>18</v>
      </c>
    </row>
    <row r="219" spans="1:11" s="6" customFormat="1" ht="31.5" customHeight="1" x14ac:dyDescent="0.25">
      <c r="A219" s="435"/>
      <c r="B219" s="364"/>
      <c r="C219" s="364"/>
      <c r="D219" s="421"/>
      <c r="E219" s="421"/>
      <c r="F219" s="341" t="s">
        <v>582</v>
      </c>
      <c r="G219" s="343">
        <f>506089.2/1000</f>
        <v>506.08920000000001</v>
      </c>
      <c r="H219" s="343">
        <f t="shared" si="19"/>
        <v>0</v>
      </c>
      <c r="I219" s="341" t="s">
        <v>18</v>
      </c>
      <c r="J219" s="43" t="s">
        <v>18</v>
      </c>
    </row>
    <row r="220" spans="1:11" s="6" customFormat="1" ht="37.5" customHeight="1" thickBot="1" x14ac:dyDescent="0.3">
      <c r="A220" s="427"/>
      <c r="B220" s="432"/>
      <c r="C220" s="432"/>
      <c r="D220" s="436"/>
      <c r="E220" s="436"/>
      <c r="F220" s="348" t="s">
        <v>583</v>
      </c>
      <c r="G220" s="349">
        <f>938440.49/1000</f>
        <v>938.44048999999995</v>
      </c>
      <c r="H220" s="349">
        <f t="shared" si="19"/>
        <v>0</v>
      </c>
      <c r="I220" s="348" t="s">
        <v>18</v>
      </c>
      <c r="J220" s="80" t="s">
        <v>18</v>
      </c>
    </row>
    <row r="221" spans="1:11" s="6" customFormat="1" ht="15.75" thickBot="1" x14ac:dyDescent="0.3">
      <c r="A221" s="75"/>
      <c r="B221" s="76"/>
      <c r="C221" s="76"/>
      <c r="D221" s="77"/>
      <c r="E221" s="77"/>
      <c r="F221" s="76"/>
      <c r="G221" s="77"/>
      <c r="H221" s="77"/>
      <c r="I221" s="76"/>
      <c r="J221" s="69"/>
    </row>
    <row r="222" spans="1:11" s="6" customFormat="1" ht="35.25" customHeight="1" x14ac:dyDescent="0.25">
      <c r="A222" s="379" t="s">
        <v>85</v>
      </c>
      <c r="B222" s="241" t="s">
        <v>86</v>
      </c>
      <c r="C222" s="241" t="s">
        <v>87</v>
      </c>
      <c r="D222" s="236">
        <v>1986</v>
      </c>
      <c r="E222" s="236">
        <f>SUM(G222)</f>
        <v>1986</v>
      </c>
      <c r="F222" s="340" t="s">
        <v>584</v>
      </c>
      <c r="G222" s="231">
        <v>1986</v>
      </c>
      <c r="H222" s="184">
        <f>SUM(J222)</f>
        <v>0</v>
      </c>
      <c r="I222" s="340" t="s">
        <v>18</v>
      </c>
      <c r="J222" s="53" t="s">
        <v>18</v>
      </c>
    </row>
    <row r="223" spans="1:11" s="6" customFormat="1" ht="28.5" x14ac:dyDescent="0.25">
      <c r="A223" s="369"/>
      <c r="B223" s="365" t="s">
        <v>227</v>
      </c>
      <c r="C223" s="365" t="s">
        <v>228</v>
      </c>
      <c r="D223" s="367">
        <f>5648628.51/1000</f>
        <v>5648.6285099999996</v>
      </c>
      <c r="E223" s="367">
        <f>SUM(G223:G225)</f>
        <v>5236.5903900000003</v>
      </c>
      <c r="F223" s="341" t="s">
        <v>376</v>
      </c>
      <c r="G223" s="357">
        <f>3213485.8/1000</f>
        <v>3213.4857999999999</v>
      </c>
      <c r="H223" s="55">
        <f>SUM(J223)</f>
        <v>3213.4857989999996</v>
      </c>
      <c r="I223" s="341" t="s">
        <v>294</v>
      </c>
      <c r="J223" s="43">
        <v>3213.4857989999996</v>
      </c>
    </row>
    <row r="224" spans="1:11" s="6" customFormat="1" ht="28.5" x14ac:dyDescent="0.25">
      <c r="A224" s="369"/>
      <c r="B224" s="380"/>
      <c r="C224" s="380"/>
      <c r="D224" s="384"/>
      <c r="E224" s="384"/>
      <c r="F224" s="341" t="s">
        <v>391</v>
      </c>
      <c r="G224" s="357">
        <f>2023104.59/1000</f>
        <v>2023.1045900000001</v>
      </c>
      <c r="H224" s="55">
        <f>SUM(J224)</f>
        <v>2023.1045838</v>
      </c>
      <c r="I224" s="341" t="s">
        <v>416</v>
      </c>
      <c r="J224" s="43">
        <f>2023104.5838/1000</f>
        <v>2023.1045838</v>
      </c>
    </row>
    <row r="225" spans="1:11" s="1" customFormat="1" ht="28.5" x14ac:dyDescent="0.25">
      <c r="A225" s="369"/>
      <c r="B225" s="366"/>
      <c r="C225" s="366"/>
      <c r="D225" s="368"/>
      <c r="E225" s="368"/>
      <c r="F225" s="341"/>
      <c r="G225" s="357"/>
      <c r="H225" s="55">
        <f>J225</f>
        <v>403.79243639999999</v>
      </c>
      <c r="I225" s="341" t="s">
        <v>465</v>
      </c>
      <c r="J225" s="43">
        <f>403792.4364/1000</f>
        <v>403.79243639999999</v>
      </c>
    </row>
    <row r="226" spans="1:11" s="6" customFormat="1" ht="25.5" customHeight="1" x14ac:dyDescent="0.25">
      <c r="A226" s="369"/>
      <c r="B226" s="364" t="s">
        <v>82</v>
      </c>
      <c r="C226" s="364" t="s">
        <v>266</v>
      </c>
      <c r="D226" s="364">
        <f>8817712.56/1000</f>
        <v>8817.7125599999999</v>
      </c>
      <c r="E226" s="423">
        <f>SUM(G226:G228)</f>
        <v>2122.1431600000001</v>
      </c>
      <c r="F226" s="341" t="s">
        <v>585</v>
      </c>
      <c r="G226" s="357">
        <v>961.05011000000002</v>
      </c>
      <c r="H226" s="55"/>
      <c r="I226" s="341"/>
      <c r="J226" s="43"/>
    </row>
    <row r="227" spans="1:11" s="6" customFormat="1" ht="27.75" customHeight="1" x14ac:dyDescent="0.25">
      <c r="A227" s="369"/>
      <c r="B227" s="364"/>
      <c r="C227" s="364"/>
      <c r="D227" s="364"/>
      <c r="E227" s="423"/>
      <c r="F227" s="341" t="s">
        <v>586</v>
      </c>
      <c r="G227" s="357">
        <v>355.59017</v>
      </c>
      <c r="H227" s="55"/>
      <c r="I227" s="341"/>
      <c r="J227" s="43"/>
    </row>
    <row r="228" spans="1:11" s="6" customFormat="1" ht="27.75" customHeight="1" x14ac:dyDescent="0.25">
      <c r="A228" s="369"/>
      <c r="B228" s="364"/>
      <c r="C228" s="364"/>
      <c r="D228" s="364"/>
      <c r="E228" s="423"/>
      <c r="F228" s="341" t="s">
        <v>587</v>
      </c>
      <c r="G228" s="357">
        <v>805.50288</v>
      </c>
      <c r="H228" s="55"/>
      <c r="I228" s="341"/>
      <c r="J228" s="43"/>
    </row>
    <row r="229" spans="1:11" s="6" customFormat="1" ht="28.5" x14ac:dyDescent="0.25">
      <c r="A229" s="369"/>
      <c r="B229" s="364" t="s">
        <v>232</v>
      </c>
      <c r="C229" s="364" t="s">
        <v>233</v>
      </c>
      <c r="D229" s="364"/>
      <c r="E229" s="423">
        <f>SUM(G229:G232)</f>
        <v>1377.308493</v>
      </c>
      <c r="F229" s="341" t="s">
        <v>536</v>
      </c>
      <c r="G229" s="357">
        <f>118162.88*1.18/1000</f>
        <v>139.4321984</v>
      </c>
      <c r="H229" s="55">
        <f>SUM(J229)</f>
        <v>707.28822400000001</v>
      </c>
      <c r="I229" s="341" t="s">
        <v>417</v>
      </c>
      <c r="J229" s="43">
        <v>707.28822400000001</v>
      </c>
      <c r="K229" s="6" t="s">
        <v>612</v>
      </c>
    </row>
    <row r="230" spans="1:11" s="6" customFormat="1" ht="28.5" x14ac:dyDescent="0.25">
      <c r="A230" s="369"/>
      <c r="B230" s="364"/>
      <c r="C230" s="364"/>
      <c r="D230" s="364"/>
      <c r="E230" s="423"/>
      <c r="F230" s="341" t="s">
        <v>588</v>
      </c>
      <c r="G230" s="357">
        <f>85302.7546/1000</f>
        <v>85.3027546</v>
      </c>
      <c r="H230" s="55">
        <f>SUM(J230)</f>
        <v>445.2853192</v>
      </c>
      <c r="I230" s="341" t="s">
        <v>418</v>
      </c>
      <c r="J230" s="43">
        <f>445285.3192/1000</f>
        <v>445.2853192</v>
      </c>
      <c r="K230" s="333">
        <f>G229+G197</f>
        <v>248.39614779999999</v>
      </c>
    </row>
    <row r="231" spans="1:11" s="6" customFormat="1" ht="28.5" x14ac:dyDescent="0.25">
      <c r="A231" s="369"/>
      <c r="B231" s="364"/>
      <c r="C231" s="364"/>
      <c r="D231" s="364"/>
      <c r="E231" s="423"/>
      <c r="F231" s="341" t="s">
        <v>378</v>
      </c>
      <c r="G231" s="357">
        <f>707288.22/1000</f>
        <v>707.28822000000002</v>
      </c>
      <c r="H231" s="55">
        <f>J231</f>
        <v>88.874720799999992</v>
      </c>
      <c r="I231" s="341" t="s">
        <v>480</v>
      </c>
      <c r="J231" s="43">
        <f>88874.7208/1000</f>
        <v>88.874720799999992</v>
      </c>
    </row>
    <row r="232" spans="1:11" s="6" customFormat="1" ht="28.5" x14ac:dyDescent="0.25">
      <c r="A232" s="369"/>
      <c r="B232" s="364"/>
      <c r="C232" s="364"/>
      <c r="D232" s="364"/>
      <c r="E232" s="423"/>
      <c r="F232" s="341" t="s">
        <v>401</v>
      </c>
      <c r="G232" s="357">
        <f>445285.32/1000</f>
        <v>445.28532000000001</v>
      </c>
      <c r="H232" s="55"/>
      <c r="I232" s="341"/>
      <c r="J232" s="43"/>
    </row>
    <row r="233" spans="1:11" s="6" customFormat="1" x14ac:dyDescent="0.25">
      <c r="A233" s="369"/>
      <c r="B233" s="364" t="s">
        <v>252</v>
      </c>
      <c r="C233" s="364"/>
      <c r="D233" s="228"/>
      <c r="E233" s="228"/>
      <c r="F233" s="341"/>
      <c r="G233" s="357"/>
      <c r="H233" s="55">
        <f>SUM(J233)</f>
        <v>1675.9343766000002</v>
      </c>
      <c r="I233" s="341"/>
      <c r="J233" s="43">
        <v>1675.9343766000002</v>
      </c>
    </row>
    <row r="234" spans="1:11" s="6" customFormat="1" ht="15.75" thickBot="1" x14ac:dyDescent="0.3">
      <c r="A234" s="370"/>
      <c r="B234" s="432" t="s">
        <v>382</v>
      </c>
      <c r="C234" s="432"/>
      <c r="D234" s="229"/>
      <c r="E234" s="229"/>
      <c r="F234" s="348"/>
      <c r="G234" s="183"/>
      <c r="H234" s="183">
        <f>517809.9364/1000</f>
        <v>517.80993639999997</v>
      </c>
      <c r="I234" s="348"/>
      <c r="J234" s="80">
        <f>517809.9364/1000</f>
        <v>517.80993639999997</v>
      </c>
    </row>
    <row r="235" spans="1:11" s="6" customFormat="1" ht="28.5" x14ac:dyDescent="0.25">
      <c r="A235" s="433" t="s">
        <v>215</v>
      </c>
      <c r="B235" s="366" t="s">
        <v>216</v>
      </c>
      <c r="C235" s="366" t="s">
        <v>217</v>
      </c>
      <c r="D235" s="366">
        <f>741350/1000</f>
        <v>741.35</v>
      </c>
      <c r="E235" s="417">
        <f>G235</f>
        <v>726.37330000000009</v>
      </c>
      <c r="F235" s="347" t="s">
        <v>589</v>
      </c>
      <c r="G235" s="356">
        <v>726.37330000000009</v>
      </c>
      <c r="H235" s="383">
        <f>SUM(J235:J236)</f>
        <v>726.37329879999993</v>
      </c>
      <c r="I235" s="356" t="s">
        <v>237</v>
      </c>
      <c r="J235" s="66">
        <f>700337.2688/1000</f>
        <v>700.33726879999995</v>
      </c>
    </row>
    <row r="236" spans="1:11" s="6" customFormat="1" ht="29.25" thickBot="1" x14ac:dyDescent="0.3">
      <c r="A236" s="434"/>
      <c r="B236" s="365"/>
      <c r="C236" s="365"/>
      <c r="D236" s="365"/>
      <c r="E236" s="365"/>
      <c r="F236" s="345"/>
      <c r="G236" s="354"/>
      <c r="H236" s="381"/>
      <c r="I236" s="354" t="s">
        <v>237</v>
      </c>
      <c r="J236" s="54">
        <f>26036.03/1000</f>
        <v>26.03603</v>
      </c>
    </row>
    <row r="237" spans="1:11" s="6" customFormat="1" ht="28.5" x14ac:dyDescent="0.25">
      <c r="A237" s="426" t="s">
        <v>402</v>
      </c>
      <c r="B237" s="241" t="s">
        <v>324</v>
      </c>
      <c r="C237" s="231" t="s">
        <v>420</v>
      </c>
      <c r="D237" s="241">
        <f>1914412.55/1000</f>
        <v>1914.41255</v>
      </c>
      <c r="E237" s="231"/>
      <c r="F237" s="340"/>
      <c r="G237" s="231"/>
      <c r="H237" s="184">
        <f>J237</f>
        <v>1033.0551545999999</v>
      </c>
      <c r="I237" s="231" t="s">
        <v>422</v>
      </c>
      <c r="J237" s="53">
        <f>1033055.1546/1000</f>
        <v>1033.0551545999999</v>
      </c>
    </row>
    <row r="238" spans="1:11" s="6" customFormat="1" ht="29.25" thickBot="1" x14ac:dyDescent="0.3">
      <c r="A238" s="427"/>
      <c r="B238" s="230" t="s">
        <v>232</v>
      </c>
      <c r="C238" s="230" t="s">
        <v>233</v>
      </c>
      <c r="D238" s="230"/>
      <c r="E238" s="183">
        <f>G238</f>
        <v>10.640473</v>
      </c>
      <c r="F238" s="348" t="s">
        <v>528</v>
      </c>
      <c r="G238" s="183">
        <f>10640.473/1000</f>
        <v>10.640473</v>
      </c>
      <c r="H238" s="311">
        <f>J238</f>
        <v>10.640473</v>
      </c>
      <c r="I238" s="183" t="s">
        <v>421</v>
      </c>
      <c r="J238" s="80">
        <f>9017.35*1.18/1000</f>
        <v>10.640473</v>
      </c>
    </row>
    <row r="239" spans="1:11" ht="28.5" x14ac:dyDescent="0.25">
      <c r="A239" s="380" t="s">
        <v>89</v>
      </c>
      <c r="B239" s="404" t="s">
        <v>90</v>
      </c>
      <c r="C239" s="404" t="s">
        <v>91</v>
      </c>
      <c r="D239" s="404">
        <v>118900</v>
      </c>
      <c r="E239" s="418">
        <f>SUM(G239:G251)</f>
        <v>49624.092880000004</v>
      </c>
      <c r="F239" s="347" t="s">
        <v>590</v>
      </c>
      <c r="G239" s="350">
        <v>1500</v>
      </c>
      <c r="H239" s="428">
        <f>SUM(J239:J253)</f>
        <v>66126.877907200003</v>
      </c>
      <c r="I239" s="356" t="s">
        <v>93</v>
      </c>
      <c r="J239" s="66">
        <f>3754970*1.18/1000</f>
        <v>4430.8645999999999</v>
      </c>
    </row>
    <row r="240" spans="1:11" ht="28.5" x14ac:dyDescent="0.25">
      <c r="A240" s="380"/>
      <c r="B240" s="380"/>
      <c r="C240" s="380"/>
      <c r="D240" s="380"/>
      <c r="E240" s="384"/>
      <c r="F240" s="341" t="s">
        <v>591</v>
      </c>
      <c r="G240" s="343">
        <v>2708.9962799999998</v>
      </c>
      <c r="H240" s="416"/>
      <c r="I240" s="357" t="s">
        <v>18</v>
      </c>
      <c r="J240" s="43" t="s">
        <v>18</v>
      </c>
    </row>
    <row r="241" spans="1:11" ht="28.5" x14ac:dyDescent="0.25">
      <c r="A241" s="380"/>
      <c r="B241" s="380"/>
      <c r="C241" s="380"/>
      <c r="D241" s="380"/>
      <c r="E241" s="384"/>
      <c r="F241" s="341" t="s">
        <v>592</v>
      </c>
      <c r="G241" s="343">
        <v>4430.8645999999999</v>
      </c>
      <c r="H241" s="416"/>
      <c r="I241" s="357" t="s">
        <v>18</v>
      </c>
      <c r="J241" s="43" t="s">
        <v>18</v>
      </c>
    </row>
    <row r="242" spans="1:11" ht="28.5" x14ac:dyDescent="0.25">
      <c r="A242" s="380"/>
      <c r="B242" s="380"/>
      <c r="C242" s="380"/>
      <c r="D242" s="380"/>
      <c r="E242" s="384"/>
      <c r="F242" s="341" t="s">
        <v>593</v>
      </c>
      <c r="G242" s="343">
        <f>3043458.36/1000</f>
        <v>3043.4583600000001</v>
      </c>
      <c r="H242" s="416"/>
      <c r="I242" s="357" t="s">
        <v>624</v>
      </c>
      <c r="J242" s="344">
        <v>3043.4583600000001</v>
      </c>
    </row>
    <row r="243" spans="1:11" ht="28.5" x14ac:dyDescent="0.25">
      <c r="A243" s="380"/>
      <c r="B243" s="380"/>
      <c r="C243" s="380"/>
      <c r="D243" s="380"/>
      <c r="E243" s="384"/>
      <c r="F243" s="341" t="s">
        <v>594</v>
      </c>
      <c r="G243" s="343">
        <f>3737886/1000</f>
        <v>3737.886</v>
      </c>
      <c r="H243" s="416"/>
      <c r="I243" s="357" t="s">
        <v>160</v>
      </c>
      <c r="J243" s="344">
        <v>3739.5533399999999</v>
      </c>
    </row>
    <row r="244" spans="1:11" ht="42.75" x14ac:dyDescent="0.25">
      <c r="A244" s="380"/>
      <c r="B244" s="380"/>
      <c r="C244" s="380"/>
      <c r="D244" s="380"/>
      <c r="E244" s="384"/>
      <c r="F244" s="341" t="s">
        <v>595</v>
      </c>
      <c r="G244" s="343">
        <v>367.47559999999999</v>
      </c>
      <c r="H244" s="416"/>
      <c r="I244" s="357" t="s">
        <v>157</v>
      </c>
      <c r="J244" s="344">
        <v>-1.6673399999999998</v>
      </c>
      <c r="K244" s="360">
        <f>J244+J243+J242</f>
        <v>6781.3443600000001</v>
      </c>
    </row>
    <row r="245" spans="1:11" ht="28.5" x14ac:dyDescent="0.25">
      <c r="A245" s="380"/>
      <c r="B245" s="380"/>
      <c r="C245" s="380"/>
      <c r="D245" s="380"/>
      <c r="E245" s="384"/>
      <c r="F245" s="341" t="s">
        <v>596</v>
      </c>
      <c r="G245" s="343">
        <v>597.43399999999997</v>
      </c>
      <c r="H245" s="416"/>
      <c r="I245" s="357" t="s">
        <v>169</v>
      </c>
      <c r="J245" s="344">
        <f>(311420/1000)*1.18</f>
        <v>367.47559999999999</v>
      </c>
    </row>
    <row r="246" spans="1:11" ht="28.5" x14ac:dyDescent="0.25">
      <c r="A246" s="380"/>
      <c r="B246" s="380"/>
      <c r="C246" s="380"/>
      <c r="D246" s="380"/>
      <c r="E246" s="384"/>
      <c r="F246" s="341" t="s">
        <v>597</v>
      </c>
      <c r="G246" s="343">
        <v>893.79571999999996</v>
      </c>
      <c r="H246" s="416"/>
      <c r="I246" s="357" t="s">
        <v>170</v>
      </c>
      <c r="J246" s="344">
        <v>597.43399999999997</v>
      </c>
    </row>
    <row r="247" spans="1:11" ht="28.5" x14ac:dyDescent="0.25">
      <c r="A247" s="380"/>
      <c r="B247" s="380"/>
      <c r="C247" s="380"/>
      <c r="D247" s="380"/>
      <c r="E247" s="384"/>
      <c r="F247" s="341" t="s">
        <v>598</v>
      </c>
      <c r="G247" s="343">
        <v>4441.6132200000002</v>
      </c>
      <c r="H247" s="416"/>
      <c r="I247" s="357" t="s">
        <v>206</v>
      </c>
      <c r="J247" s="344">
        <v>893.79571999999996</v>
      </c>
    </row>
    <row r="248" spans="1:11" ht="28.5" x14ac:dyDescent="0.25">
      <c r="A248" s="380"/>
      <c r="B248" s="380"/>
      <c r="C248" s="380"/>
      <c r="D248" s="380"/>
      <c r="E248" s="384"/>
      <c r="F248" s="341" t="s">
        <v>599</v>
      </c>
      <c r="G248" s="343">
        <v>4343.0312999999996</v>
      </c>
      <c r="H248" s="416"/>
      <c r="I248" s="357" t="s">
        <v>236</v>
      </c>
      <c r="J248" s="344">
        <v>4441.6132200000002</v>
      </c>
    </row>
    <row r="249" spans="1:11" ht="28.5" x14ac:dyDescent="0.25">
      <c r="A249" s="380"/>
      <c r="B249" s="380"/>
      <c r="C249" s="380"/>
      <c r="D249" s="380"/>
      <c r="E249" s="384"/>
      <c r="F249" s="341" t="s">
        <v>600</v>
      </c>
      <c r="G249" s="343">
        <f>6015282.46/1000</f>
        <v>6015.2824600000004</v>
      </c>
      <c r="H249" s="416"/>
      <c r="I249" s="357" t="s">
        <v>244</v>
      </c>
      <c r="J249" s="344">
        <v>4343.0312999999996</v>
      </c>
    </row>
    <row r="250" spans="1:11" ht="28.5" x14ac:dyDescent="0.25">
      <c r="A250" s="380"/>
      <c r="B250" s="380"/>
      <c r="C250" s="380"/>
      <c r="D250" s="380"/>
      <c r="E250" s="384"/>
      <c r="F250" s="341" t="s">
        <v>389</v>
      </c>
      <c r="G250" s="358">
        <f>12654777.84/1000</f>
        <v>12654.777840000001</v>
      </c>
      <c r="H250" s="416"/>
      <c r="I250" s="357" t="s">
        <v>287</v>
      </c>
      <c r="J250" s="344">
        <v>6015.2824600000004</v>
      </c>
    </row>
    <row r="251" spans="1:11" ht="28.5" x14ac:dyDescent="0.25">
      <c r="A251" s="380"/>
      <c r="B251" s="380"/>
      <c r="C251" s="380"/>
      <c r="D251" s="380"/>
      <c r="E251" s="384"/>
      <c r="F251" s="345" t="s">
        <v>601</v>
      </c>
      <c r="G251" s="353">
        <f>4889477.5/1000</f>
        <v>4889.4775</v>
      </c>
      <c r="H251" s="416"/>
      <c r="I251" s="354" t="s">
        <v>410</v>
      </c>
      <c r="J251" s="46">
        <f>12654777.84/1000</f>
        <v>12654.777840000001</v>
      </c>
    </row>
    <row r="252" spans="1:11" ht="28.5" x14ac:dyDescent="0.25">
      <c r="A252" s="372"/>
      <c r="B252" s="380"/>
      <c r="C252" s="380"/>
      <c r="D252" s="380"/>
      <c r="E252" s="384"/>
      <c r="F252" s="345"/>
      <c r="G252" s="353"/>
      <c r="H252" s="416"/>
      <c r="I252" s="354" t="s">
        <v>431</v>
      </c>
      <c r="J252" s="107">
        <f>4889477.5/1000</f>
        <v>4889.4775</v>
      </c>
    </row>
    <row r="253" spans="1:11" ht="28.5" x14ac:dyDescent="0.25">
      <c r="A253" s="372"/>
      <c r="B253" s="366"/>
      <c r="C253" s="366"/>
      <c r="D253" s="366"/>
      <c r="E253" s="368"/>
      <c r="F253" s="345"/>
      <c r="G253" s="353"/>
      <c r="H253" s="417"/>
      <c r="I253" s="354" t="s">
        <v>479</v>
      </c>
      <c r="J253" s="107">
        <f>20711781.3072/1000</f>
        <v>20711.781307199999</v>
      </c>
    </row>
    <row r="254" spans="1:11" x14ac:dyDescent="0.25">
      <c r="A254" s="372"/>
      <c r="B254" s="364" t="s">
        <v>200</v>
      </c>
      <c r="C254" s="364"/>
      <c r="D254" s="214" t="s">
        <v>18</v>
      </c>
      <c r="E254" s="228">
        <f>G254</f>
        <v>239.84057000000001</v>
      </c>
      <c r="F254" s="225" t="s">
        <v>18</v>
      </c>
      <c r="G254" s="228">
        <f>239840.57/1000</f>
        <v>239.84057000000001</v>
      </c>
      <c r="H254" s="228">
        <f>J254</f>
        <v>239.84057000000001</v>
      </c>
      <c r="I254" s="214" t="s">
        <v>18</v>
      </c>
      <c r="J254" s="228">
        <f>239840.57/1000</f>
        <v>239.84057000000001</v>
      </c>
    </row>
    <row r="255" spans="1:11" x14ac:dyDescent="0.25">
      <c r="A255" s="372"/>
      <c r="B255" s="364" t="s">
        <v>248</v>
      </c>
      <c r="C255" s="364"/>
      <c r="D255" s="214" t="s">
        <v>18</v>
      </c>
      <c r="E255" s="228">
        <f t="shared" ref="E255:E260" si="20">G255</f>
        <v>119.8629</v>
      </c>
      <c r="F255" s="225" t="s">
        <v>18</v>
      </c>
      <c r="G255" s="228">
        <v>119.8629</v>
      </c>
      <c r="H255" s="228">
        <f t="shared" ref="H255:H260" si="21">J255</f>
        <v>119.8629</v>
      </c>
      <c r="I255" s="214" t="s">
        <v>18</v>
      </c>
      <c r="J255" s="228">
        <v>119.8629</v>
      </c>
    </row>
    <row r="256" spans="1:11" x14ac:dyDescent="0.25">
      <c r="A256" s="372"/>
      <c r="B256" s="364" t="s">
        <v>249</v>
      </c>
      <c r="C256" s="364"/>
      <c r="D256" s="214" t="s">
        <v>18</v>
      </c>
      <c r="E256" s="228">
        <f t="shared" si="20"/>
        <v>131.42073000000002</v>
      </c>
      <c r="F256" s="225" t="s">
        <v>18</v>
      </c>
      <c r="G256" s="228">
        <v>131.42073000000002</v>
      </c>
      <c r="H256" s="228">
        <f t="shared" si="21"/>
        <v>131.42073000000002</v>
      </c>
      <c r="I256" s="214" t="s">
        <v>18</v>
      </c>
      <c r="J256" s="228">
        <v>131.42073000000002</v>
      </c>
    </row>
    <row r="257" spans="1:10" x14ac:dyDescent="0.25">
      <c r="A257" s="372"/>
      <c r="B257" s="364" t="s">
        <v>250</v>
      </c>
      <c r="C257" s="364"/>
      <c r="D257" s="214"/>
      <c r="E257" s="228">
        <f t="shared" si="20"/>
        <v>200.47611000000001</v>
      </c>
      <c r="F257" s="225" t="s">
        <v>18</v>
      </c>
      <c r="G257" s="228">
        <v>200.47611000000001</v>
      </c>
      <c r="H257" s="228">
        <f t="shared" si="21"/>
        <v>200.47611000000001</v>
      </c>
      <c r="I257" s="214" t="s">
        <v>18</v>
      </c>
      <c r="J257" s="228">
        <v>200.47611000000001</v>
      </c>
    </row>
    <row r="258" spans="1:10" x14ac:dyDescent="0.25">
      <c r="A258" s="372"/>
      <c r="B258" s="364" t="s">
        <v>379</v>
      </c>
      <c r="C258" s="364"/>
      <c r="D258" s="214"/>
      <c r="E258" s="228">
        <f t="shared" si="20"/>
        <v>209.48329000000001</v>
      </c>
      <c r="F258" s="225" t="s">
        <v>18</v>
      </c>
      <c r="G258" s="228">
        <f>209483.29/1000</f>
        <v>209.48329000000001</v>
      </c>
      <c r="H258" s="228">
        <f t="shared" si="21"/>
        <v>209.48329000000001</v>
      </c>
      <c r="I258" s="214" t="s">
        <v>18</v>
      </c>
      <c r="J258" s="228">
        <f>209483.29/1000</f>
        <v>209.48329000000001</v>
      </c>
    </row>
    <row r="259" spans="1:10" x14ac:dyDescent="0.25">
      <c r="A259" s="372"/>
      <c r="B259" s="364" t="s">
        <v>380</v>
      </c>
      <c r="C259" s="364"/>
      <c r="D259" s="214"/>
      <c r="E259" s="228">
        <f t="shared" si="20"/>
        <v>325.08123999999998</v>
      </c>
      <c r="F259" s="225" t="s">
        <v>18</v>
      </c>
      <c r="G259" s="228">
        <f>325081.24/1000</f>
        <v>325.08123999999998</v>
      </c>
      <c r="H259" s="228">
        <f t="shared" si="21"/>
        <v>325.08123999999998</v>
      </c>
      <c r="I259" s="214" t="s">
        <v>18</v>
      </c>
      <c r="J259" s="228">
        <f>325081.24/1000</f>
        <v>325.08123999999998</v>
      </c>
    </row>
    <row r="260" spans="1:10" x14ac:dyDescent="0.25">
      <c r="A260" s="373"/>
      <c r="B260" s="364" t="s">
        <v>381</v>
      </c>
      <c r="C260" s="364"/>
      <c r="D260" s="214"/>
      <c r="E260" s="228">
        <f t="shared" si="20"/>
        <v>290.96610999999996</v>
      </c>
      <c r="F260" s="225" t="s">
        <v>18</v>
      </c>
      <c r="G260" s="228">
        <f>290966.11/1000</f>
        <v>290.96610999999996</v>
      </c>
      <c r="H260" s="228">
        <f t="shared" si="21"/>
        <v>290.96610999999996</v>
      </c>
      <c r="I260" s="214" t="s">
        <v>18</v>
      </c>
      <c r="J260" s="228">
        <f>290966.11/1000</f>
        <v>290.96610999999996</v>
      </c>
    </row>
    <row r="261" spans="1:10" ht="28.5" x14ac:dyDescent="0.25">
      <c r="A261" s="425" t="s">
        <v>229</v>
      </c>
      <c r="B261" s="366" t="s">
        <v>230</v>
      </c>
      <c r="C261" s="366" t="s">
        <v>231</v>
      </c>
      <c r="D261" s="429">
        <f>7148580.62/1000</f>
        <v>7148.5806199999997</v>
      </c>
      <c r="E261" s="363">
        <f>SUM(G261:G264)</f>
        <v>6757.26548</v>
      </c>
      <c r="F261" s="347" t="s">
        <v>390</v>
      </c>
      <c r="G261" s="350">
        <f>6757265.48/1000</f>
        <v>6757.26548</v>
      </c>
      <c r="H261" s="363">
        <f>SUM(J261:J264)</f>
        <v>6757.2654799999991</v>
      </c>
      <c r="I261" s="224" t="s">
        <v>289</v>
      </c>
      <c r="J261" s="251">
        <v>6470.3187799999996</v>
      </c>
    </row>
    <row r="262" spans="1:10" x14ac:dyDescent="0.25">
      <c r="A262" s="386"/>
      <c r="B262" s="364"/>
      <c r="C262" s="364"/>
      <c r="D262" s="430"/>
      <c r="E262" s="421"/>
      <c r="F262" s="341" t="s">
        <v>18</v>
      </c>
      <c r="G262" s="343"/>
      <c r="H262" s="421"/>
      <c r="I262" s="424" t="s">
        <v>290</v>
      </c>
      <c r="J262" s="247">
        <v>219.05519999999999</v>
      </c>
    </row>
    <row r="263" spans="1:10" x14ac:dyDescent="0.25">
      <c r="A263" s="386"/>
      <c r="B263" s="364"/>
      <c r="C263" s="364"/>
      <c r="D263" s="430"/>
      <c r="E263" s="421"/>
      <c r="F263" s="341" t="s">
        <v>18</v>
      </c>
      <c r="G263" s="343"/>
      <c r="H263" s="421"/>
      <c r="I263" s="416"/>
      <c r="J263" s="247">
        <v>12.891500000000001</v>
      </c>
    </row>
    <row r="264" spans="1:10" x14ac:dyDescent="0.25">
      <c r="A264" s="422"/>
      <c r="B264" s="365"/>
      <c r="C264" s="365"/>
      <c r="D264" s="431"/>
      <c r="E264" s="361"/>
      <c r="F264" s="345" t="s">
        <v>18</v>
      </c>
      <c r="G264" s="353"/>
      <c r="H264" s="361"/>
      <c r="I264" s="416"/>
      <c r="J264" s="79">
        <v>55</v>
      </c>
    </row>
    <row r="265" spans="1:10" x14ac:dyDescent="0.25">
      <c r="A265" s="364" t="s">
        <v>96</v>
      </c>
      <c r="B265" s="364" t="s">
        <v>97</v>
      </c>
      <c r="C265" s="364" t="s">
        <v>98</v>
      </c>
      <c r="D265" s="364">
        <v>7619.37</v>
      </c>
      <c r="E265" s="421">
        <f>SUM(G265:G275)</f>
        <v>6681.628670000001</v>
      </c>
      <c r="F265" s="341" t="s">
        <v>614</v>
      </c>
      <c r="G265" s="343">
        <f>649436.5/1000</f>
        <v>649.43650000000002</v>
      </c>
      <c r="H265" s="423">
        <f>SUM(J265:J275)</f>
        <v>5833.6344871999991</v>
      </c>
      <c r="I265" s="423" t="s">
        <v>100</v>
      </c>
      <c r="J265" s="228">
        <f>2175878.11*1.18/1000</f>
        <v>2567.5361697999997</v>
      </c>
    </row>
    <row r="266" spans="1:10" x14ac:dyDescent="0.25">
      <c r="A266" s="364"/>
      <c r="B266" s="364"/>
      <c r="C266" s="364"/>
      <c r="D266" s="364"/>
      <c r="E266" s="364"/>
      <c r="F266" s="341" t="s">
        <v>620</v>
      </c>
      <c r="G266" s="343">
        <f>198557.68/1000</f>
        <v>198.55768</v>
      </c>
      <c r="H266" s="423"/>
      <c r="I266" s="423"/>
      <c r="J266" s="228">
        <f>19222.141/1000</f>
        <v>19.222141000000001</v>
      </c>
    </row>
    <row r="267" spans="1:10" ht="28.5" x14ac:dyDescent="0.25">
      <c r="A267" s="364"/>
      <c r="B267" s="364"/>
      <c r="C267" s="364"/>
      <c r="D267" s="364"/>
      <c r="E267" s="364"/>
      <c r="F267" s="341" t="s">
        <v>602</v>
      </c>
      <c r="G267" s="343">
        <v>2586.7583100000002</v>
      </c>
      <c r="H267" s="423"/>
      <c r="I267" s="423" t="s">
        <v>103</v>
      </c>
      <c r="J267" s="228">
        <v>780.10994159999996</v>
      </c>
    </row>
    <row r="268" spans="1:10" ht="45" customHeight="1" x14ac:dyDescent="0.25">
      <c r="A268" s="364"/>
      <c r="B268" s="364"/>
      <c r="C268" s="364"/>
      <c r="D268" s="364"/>
      <c r="E268" s="364"/>
      <c r="F268" s="341" t="s">
        <v>603</v>
      </c>
      <c r="G268" s="343">
        <v>2210.5563700000002</v>
      </c>
      <c r="H268" s="423"/>
      <c r="I268" s="423"/>
      <c r="J268" s="228">
        <v>62.646070199999997</v>
      </c>
    </row>
    <row r="269" spans="1:10" ht="42.75" x14ac:dyDescent="0.25">
      <c r="A269" s="364"/>
      <c r="B269" s="364"/>
      <c r="C269" s="364"/>
      <c r="D269" s="364"/>
      <c r="E269" s="364"/>
      <c r="F269" s="341" t="s">
        <v>293</v>
      </c>
      <c r="G269" s="357">
        <v>1036.31981</v>
      </c>
      <c r="H269" s="423"/>
      <c r="I269" s="214" t="s">
        <v>151</v>
      </c>
      <c r="J269" s="228">
        <v>107.57180899999999</v>
      </c>
    </row>
    <row r="270" spans="1:10" x14ac:dyDescent="0.25">
      <c r="A270" s="364"/>
      <c r="B270" s="364"/>
      <c r="C270" s="364"/>
      <c r="D270" s="364"/>
      <c r="E270" s="364"/>
      <c r="F270" s="341" t="s">
        <v>18</v>
      </c>
      <c r="G270" s="341" t="s">
        <v>18</v>
      </c>
      <c r="H270" s="423"/>
      <c r="I270" s="423" t="s">
        <v>277</v>
      </c>
      <c r="J270" s="228">
        <v>1494.6780103999999</v>
      </c>
    </row>
    <row r="271" spans="1:10" x14ac:dyDescent="0.25">
      <c r="A271" s="364"/>
      <c r="B271" s="364"/>
      <c r="C271" s="364"/>
      <c r="D271" s="364"/>
      <c r="E271" s="364"/>
      <c r="F271" s="341" t="s">
        <v>18</v>
      </c>
      <c r="G271" s="341" t="s">
        <v>18</v>
      </c>
      <c r="H271" s="423"/>
      <c r="I271" s="423"/>
      <c r="J271" s="228">
        <v>164.55542499999999</v>
      </c>
    </row>
    <row r="272" spans="1:10" x14ac:dyDescent="0.25">
      <c r="A272" s="364"/>
      <c r="B272" s="364"/>
      <c r="C272" s="364"/>
      <c r="D272" s="364"/>
      <c r="E272" s="364"/>
      <c r="F272" s="341" t="s">
        <v>18</v>
      </c>
      <c r="G272" s="341" t="s">
        <v>18</v>
      </c>
      <c r="H272" s="423"/>
      <c r="I272" s="423"/>
      <c r="J272" s="228">
        <v>108.609737</v>
      </c>
    </row>
    <row r="273" spans="1:10" x14ac:dyDescent="0.25">
      <c r="A273" s="364"/>
      <c r="B273" s="364"/>
      <c r="C273" s="364"/>
      <c r="D273" s="364"/>
      <c r="E273" s="364"/>
      <c r="F273" s="341" t="s">
        <v>18</v>
      </c>
      <c r="G273" s="341" t="s">
        <v>18</v>
      </c>
      <c r="H273" s="423"/>
      <c r="I273" s="423"/>
      <c r="J273" s="228">
        <v>249.38254519999998</v>
      </c>
    </row>
    <row r="274" spans="1:10" x14ac:dyDescent="0.25">
      <c r="A274" s="364"/>
      <c r="B274" s="364"/>
      <c r="C274" s="364"/>
      <c r="D274" s="364"/>
      <c r="E274" s="364"/>
      <c r="F274" s="341" t="s">
        <v>18</v>
      </c>
      <c r="G274" s="341" t="s">
        <v>18</v>
      </c>
      <c r="H274" s="423"/>
      <c r="I274" s="423"/>
      <c r="J274" s="228">
        <v>164.55542499999999</v>
      </c>
    </row>
    <row r="275" spans="1:10" x14ac:dyDescent="0.25">
      <c r="A275" s="364"/>
      <c r="B275" s="364"/>
      <c r="C275" s="364"/>
      <c r="D275" s="364"/>
      <c r="E275" s="364"/>
      <c r="F275" s="341" t="s">
        <v>18</v>
      </c>
      <c r="G275" s="341" t="s">
        <v>18</v>
      </c>
      <c r="H275" s="423"/>
      <c r="I275" s="423"/>
      <c r="J275" s="228">
        <v>114.767213</v>
      </c>
    </row>
    <row r="276" spans="1:10" x14ac:dyDescent="0.25">
      <c r="A276" s="415" t="s">
        <v>104</v>
      </c>
      <c r="B276" s="382" t="s">
        <v>105</v>
      </c>
      <c r="C276" s="382" t="s">
        <v>106</v>
      </c>
      <c r="D276" s="382">
        <v>6769.35</v>
      </c>
      <c r="E276" s="384">
        <f>SUM(G276:G281)</f>
        <v>6611.7155000000002</v>
      </c>
      <c r="F276" s="347" t="s">
        <v>613</v>
      </c>
      <c r="G276" s="59">
        <f>79484.74/1000</f>
        <v>79.484740000000002</v>
      </c>
      <c r="H276" s="382">
        <f>SUM(J276:J281)</f>
        <v>5835.1024897999996</v>
      </c>
      <c r="I276" s="416" t="s">
        <v>100</v>
      </c>
      <c r="J276" s="60">
        <f>1651360.6*1.18/1000</f>
        <v>1948.6055079999999</v>
      </c>
    </row>
    <row r="277" spans="1:10" x14ac:dyDescent="0.25">
      <c r="A277" s="415"/>
      <c r="B277" s="382"/>
      <c r="C277" s="382"/>
      <c r="D277" s="382"/>
      <c r="E277" s="384"/>
      <c r="F277" s="347" t="s">
        <v>621</v>
      </c>
      <c r="G277" s="59">
        <f>697128.27/1000</f>
        <v>697.12827000000004</v>
      </c>
      <c r="H277" s="382"/>
      <c r="I277" s="417"/>
      <c r="J277" s="60">
        <f>58658.744/1000</f>
        <v>58.658743999999999</v>
      </c>
    </row>
    <row r="278" spans="1:10" ht="28.5" x14ac:dyDescent="0.25">
      <c r="A278" s="415"/>
      <c r="B278" s="382"/>
      <c r="C278" s="382"/>
      <c r="D278" s="382"/>
      <c r="E278" s="384"/>
      <c r="F278" s="347" t="s">
        <v>604</v>
      </c>
      <c r="G278" s="59">
        <v>2007.2642499999999</v>
      </c>
      <c r="H278" s="382"/>
      <c r="I278" s="214" t="s">
        <v>18</v>
      </c>
      <c r="J278" s="62" t="s">
        <v>18</v>
      </c>
    </row>
    <row r="279" spans="1:10" ht="28.5" x14ac:dyDescent="0.25">
      <c r="A279" s="415"/>
      <c r="B279" s="382"/>
      <c r="C279" s="382"/>
      <c r="D279" s="382"/>
      <c r="E279" s="384"/>
      <c r="F279" s="347" t="s">
        <v>605</v>
      </c>
      <c r="G279" s="343">
        <v>2966.1713399999999</v>
      </c>
      <c r="H279" s="382"/>
      <c r="I279" s="224" t="s">
        <v>151</v>
      </c>
      <c r="J279" s="60">
        <v>228.97817399999997</v>
      </c>
    </row>
    <row r="280" spans="1:10" ht="42.75" x14ac:dyDescent="0.25">
      <c r="A280" s="415"/>
      <c r="B280" s="382"/>
      <c r="C280" s="382"/>
      <c r="D280" s="382"/>
      <c r="E280" s="384"/>
      <c r="F280" s="347" t="s">
        <v>291</v>
      </c>
      <c r="G280" s="343">
        <v>861.66690000000006</v>
      </c>
      <c r="H280" s="382"/>
      <c r="I280" s="224" t="s">
        <v>623</v>
      </c>
      <c r="J280" s="60">
        <v>1916.5643189999998</v>
      </c>
    </row>
    <row r="281" spans="1:10" ht="29.25" thickBot="1" x14ac:dyDescent="0.3">
      <c r="A281" s="415"/>
      <c r="B281" s="382"/>
      <c r="C281" s="382"/>
      <c r="D281" s="382"/>
      <c r="E281" s="384"/>
      <c r="F281" s="346" t="s">
        <v>18</v>
      </c>
      <c r="G281" s="64" t="s">
        <v>18</v>
      </c>
      <c r="H281" s="382"/>
      <c r="I281" s="234" t="s">
        <v>206</v>
      </c>
      <c r="J281" s="65">
        <v>1682.2957448</v>
      </c>
    </row>
    <row r="282" spans="1:10" ht="42.75" x14ac:dyDescent="0.25">
      <c r="A282" s="385" t="s">
        <v>110</v>
      </c>
      <c r="B282" s="241" t="s">
        <v>111</v>
      </c>
      <c r="C282" s="241" t="s">
        <v>112</v>
      </c>
      <c r="D282" s="231">
        <f>12730535.39/1000</f>
        <v>12730.535390000001</v>
      </c>
      <c r="E282" s="236">
        <f>SUM(G282:G282)</f>
        <v>3384.1592099999998</v>
      </c>
      <c r="F282" s="340" t="s">
        <v>616</v>
      </c>
      <c r="G282" s="342">
        <f>3384159.21/1000</f>
        <v>3384.1592099999998</v>
      </c>
      <c r="H282" s="236">
        <f>SUM(J282:J282)</f>
        <v>0</v>
      </c>
      <c r="I282" s="231" t="s">
        <v>18</v>
      </c>
      <c r="J282" s="53" t="s">
        <v>18</v>
      </c>
    </row>
    <row r="283" spans="1:10" ht="57.75" customHeight="1" x14ac:dyDescent="0.25">
      <c r="A283" s="386"/>
      <c r="B283" s="225" t="s">
        <v>111</v>
      </c>
      <c r="C283" s="225" t="s">
        <v>114</v>
      </c>
      <c r="D283" s="214">
        <v>19677.026999999998</v>
      </c>
      <c r="E283" s="228">
        <f>SUM(G283:G283)</f>
        <v>7747.4874499999996</v>
      </c>
      <c r="F283" s="341" t="s">
        <v>606</v>
      </c>
      <c r="G283" s="545">
        <v>7747.4874499999996</v>
      </c>
      <c r="H283" s="228">
        <f>SUM(J283:J283)</f>
        <v>0</v>
      </c>
      <c r="I283" s="214" t="s">
        <v>18</v>
      </c>
      <c r="J283" s="43" t="s">
        <v>18</v>
      </c>
    </row>
    <row r="284" spans="1:10" ht="28.5" x14ac:dyDescent="0.25">
      <c r="A284" s="386"/>
      <c r="B284" s="423" t="s">
        <v>105</v>
      </c>
      <c r="C284" s="423" t="s">
        <v>148</v>
      </c>
      <c r="D284" s="423">
        <v>6856.6313499999997</v>
      </c>
      <c r="E284" s="423">
        <f>SUM(G284:G288)</f>
        <v>6579.8840499999997</v>
      </c>
      <c r="F284" s="341" t="s">
        <v>607</v>
      </c>
      <c r="G284" s="545">
        <f>2437856.31/1000-0.001</f>
        <v>2437.8553099999999</v>
      </c>
      <c r="H284" s="421">
        <f>SUM(J284:J288)</f>
        <v>6579.8850367999994</v>
      </c>
      <c r="I284" s="214" t="s">
        <v>622</v>
      </c>
      <c r="J284" s="228">
        <v>250.55863939999998</v>
      </c>
    </row>
    <row r="285" spans="1:10" ht="28.5" x14ac:dyDescent="0.25">
      <c r="A285" s="386"/>
      <c r="B285" s="423"/>
      <c r="C285" s="423"/>
      <c r="D285" s="423"/>
      <c r="E285" s="423"/>
      <c r="F285" s="341" t="s">
        <v>608</v>
      </c>
      <c r="G285" s="545">
        <f>250558.64/1000</f>
        <v>250.55864000000003</v>
      </c>
      <c r="H285" s="421"/>
      <c r="I285" s="214" t="s">
        <v>149</v>
      </c>
      <c r="J285" s="228">
        <v>2437.8563055999998</v>
      </c>
    </row>
    <row r="286" spans="1:10" ht="28.5" x14ac:dyDescent="0.25">
      <c r="A286" s="386"/>
      <c r="B286" s="423"/>
      <c r="C286" s="423"/>
      <c r="D286" s="423"/>
      <c r="E286" s="423"/>
      <c r="F286" s="341" t="s">
        <v>609</v>
      </c>
      <c r="G286" s="545">
        <v>1955.12644</v>
      </c>
      <c r="H286" s="421"/>
      <c r="I286" s="214" t="s">
        <v>168</v>
      </c>
      <c r="J286" s="228">
        <f>(1656886.81/1000)*1.18</f>
        <v>1955.1264357999999</v>
      </c>
    </row>
    <row r="287" spans="1:10" ht="28.5" x14ac:dyDescent="0.25">
      <c r="A287" s="386"/>
      <c r="B287" s="423"/>
      <c r="C287" s="423"/>
      <c r="D287" s="423"/>
      <c r="E287" s="423"/>
      <c r="F287" s="341" t="s">
        <v>610</v>
      </c>
      <c r="G287" s="545">
        <v>1045.88671</v>
      </c>
      <c r="H287" s="421"/>
      <c r="I287" s="214" t="s">
        <v>210</v>
      </c>
      <c r="J287" s="228">
        <v>1936.343656</v>
      </c>
    </row>
    <row r="288" spans="1:10" ht="42.75" x14ac:dyDescent="0.25">
      <c r="A288" s="422"/>
      <c r="B288" s="423"/>
      <c r="C288" s="423"/>
      <c r="D288" s="423"/>
      <c r="E288" s="423"/>
      <c r="F288" s="341" t="s">
        <v>292</v>
      </c>
      <c r="G288" s="545">
        <v>890.45695000000001</v>
      </c>
      <c r="H288" s="228"/>
      <c r="I288" s="214"/>
      <c r="J288" s="228"/>
    </row>
    <row r="289" spans="1:11" ht="29.25" thickBot="1" x14ac:dyDescent="0.3">
      <c r="A289" s="312" t="s">
        <v>517</v>
      </c>
      <c r="B289" s="234" t="s">
        <v>521</v>
      </c>
      <c r="C289" s="234" t="s">
        <v>520</v>
      </c>
      <c r="D289" s="234">
        <f>257616.68/1000</f>
        <v>257.61667999999997</v>
      </c>
      <c r="E289" s="234">
        <f>G289</f>
        <v>257.61667999999997</v>
      </c>
      <c r="F289" s="346" t="s">
        <v>519</v>
      </c>
      <c r="G289" s="355">
        <f>257616.68/1000</f>
        <v>257.61667999999997</v>
      </c>
      <c r="H289" s="94">
        <f>J289</f>
        <v>257.61667999999997</v>
      </c>
      <c r="I289" s="234" t="s">
        <v>518</v>
      </c>
      <c r="J289" s="272">
        <f>257616.68/1000</f>
        <v>257.61667999999997</v>
      </c>
      <c r="K289" s="337"/>
    </row>
    <row r="290" spans="1:11" ht="28.5" x14ac:dyDescent="0.25">
      <c r="A290" s="402" t="s">
        <v>116</v>
      </c>
      <c r="B290" s="404" t="s">
        <v>117</v>
      </c>
      <c r="C290" s="404" t="s">
        <v>118</v>
      </c>
      <c r="D290" s="404">
        <v>5063.8999999999996</v>
      </c>
      <c r="E290" s="418">
        <f>SUM(G290:G292)</f>
        <v>4582.4028600000001</v>
      </c>
      <c r="F290" s="340" t="s">
        <v>615</v>
      </c>
      <c r="G290" s="342">
        <f>3215238.38/1000</f>
        <v>3215.2383799999998</v>
      </c>
      <c r="H290" s="420">
        <f>SUM(J290:J291)</f>
        <v>722.94101839999996</v>
      </c>
      <c r="I290" s="214" t="s">
        <v>487</v>
      </c>
      <c r="J290" s="228">
        <f>350139.39*1.18/1000</f>
        <v>413.16448020000001</v>
      </c>
    </row>
    <row r="291" spans="1:11" ht="28.5" x14ac:dyDescent="0.25">
      <c r="A291" s="402"/>
      <c r="B291" s="380"/>
      <c r="C291" s="380"/>
      <c r="D291" s="380"/>
      <c r="E291" s="384"/>
      <c r="F291" s="341" t="s">
        <v>617</v>
      </c>
      <c r="G291" s="343">
        <f>954000/1000</f>
        <v>954</v>
      </c>
      <c r="H291" s="421"/>
      <c r="I291" s="214" t="s">
        <v>486</v>
      </c>
      <c r="J291" s="228">
        <f>262522.49*1.18/1000</f>
        <v>309.77653819999995</v>
      </c>
    </row>
    <row r="292" spans="1:11" ht="29.25" thickBot="1" x14ac:dyDescent="0.3">
      <c r="A292" s="403"/>
      <c r="B292" s="405"/>
      <c r="C292" s="405"/>
      <c r="D292" s="405"/>
      <c r="E292" s="419"/>
      <c r="F292" s="348" t="s">
        <v>352</v>
      </c>
      <c r="G292" s="349">
        <f>413164.48/1000</f>
        <v>413.16447999999997</v>
      </c>
      <c r="H292" s="229"/>
      <c r="I292" s="183"/>
      <c r="J292" s="80"/>
    </row>
    <row r="293" spans="1:11" s="6" customFormat="1" ht="29.25" thickBot="1" x14ac:dyDescent="0.3">
      <c r="A293" s="235" t="s">
        <v>121</v>
      </c>
      <c r="B293" s="219" t="s">
        <v>122</v>
      </c>
      <c r="C293" s="112" t="s">
        <v>123</v>
      </c>
      <c r="D293" s="94">
        <v>692.40700000000004</v>
      </c>
      <c r="E293" s="94">
        <f>SUM(G293:G293)</f>
        <v>344.08287999999999</v>
      </c>
      <c r="F293" s="347" t="s">
        <v>611</v>
      </c>
      <c r="G293" s="350">
        <f>344082.88/1000</f>
        <v>344.08287999999999</v>
      </c>
      <c r="H293" s="94">
        <f>SUM(J293:J293)</f>
        <v>0</v>
      </c>
      <c r="I293" s="220" t="s">
        <v>18</v>
      </c>
      <c r="J293" s="66" t="s">
        <v>18</v>
      </c>
    </row>
    <row r="294" spans="1:11" s="6" customFormat="1" ht="15.75" thickBot="1" x14ac:dyDescent="0.3">
      <c r="A294" s="39" t="s">
        <v>125</v>
      </c>
      <c r="B294" s="40"/>
      <c r="C294" s="40"/>
      <c r="D294" s="40"/>
      <c r="E294" s="41">
        <f>SUM(E61:E293)</f>
        <v>340312.63045520004</v>
      </c>
      <c r="F294" s="24"/>
      <c r="G294" s="41">
        <f>SUM(G61:G293)</f>
        <v>340312.63045520009</v>
      </c>
      <c r="H294" s="41">
        <f>SUM(H61:H293)</f>
        <v>463661.74161040026</v>
      </c>
      <c r="I294" s="24"/>
      <c r="J294" s="42">
        <f>SUM(J61:J293)</f>
        <v>463661.7416104002</v>
      </c>
    </row>
    <row r="295" spans="1:11" s="6" customFormat="1" ht="30.75" thickBot="1" x14ac:dyDescent="0.3">
      <c r="A295" s="39" t="s">
        <v>126</v>
      </c>
      <c r="B295" s="40"/>
      <c r="C295" s="40"/>
      <c r="D295" s="40"/>
      <c r="E295" s="41">
        <f>G295</f>
        <v>32329.907593264343</v>
      </c>
      <c r="F295" s="24"/>
      <c r="G295" s="41">
        <v>32329.907593264343</v>
      </c>
      <c r="H295" s="41">
        <f>J295</f>
        <v>32329.907593264343</v>
      </c>
      <c r="I295" s="24"/>
      <c r="J295" s="42">
        <v>32329.907593264343</v>
      </c>
    </row>
    <row r="296" spans="1:11" s="6" customFormat="1" ht="30.75" thickBot="1" x14ac:dyDescent="0.3">
      <c r="A296" s="39" t="s">
        <v>127</v>
      </c>
      <c r="B296" s="40"/>
      <c r="C296" s="40"/>
      <c r="D296" s="40"/>
      <c r="E296" s="41">
        <f>E294+E295</f>
        <v>372642.5380484644</v>
      </c>
      <c r="F296" s="24"/>
      <c r="G296" s="41">
        <f>G294+G295</f>
        <v>372642.53804846446</v>
      </c>
      <c r="H296" s="41">
        <f>H294+H295</f>
        <v>495991.64920366462</v>
      </c>
      <c r="I296" s="24"/>
      <c r="J296" s="42">
        <f>J294+J295</f>
        <v>495991.64920366456</v>
      </c>
    </row>
    <row r="297" spans="1:11" s="6" customFormat="1" ht="45.75" thickBot="1" x14ac:dyDescent="0.3">
      <c r="A297" s="39" t="s">
        <v>128</v>
      </c>
      <c r="B297" s="40"/>
      <c r="C297" s="40"/>
      <c r="D297" s="40"/>
      <c r="E297" s="41">
        <f>E57+E296</f>
        <v>447993.4218282185</v>
      </c>
      <c r="F297" s="24"/>
      <c r="G297" s="41">
        <f>G57+G296</f>
        <v>447993.4218282185</v>
      </c>
      <c r="H297" s="41">
        <f>H57+H296</f>
        <v>514483.56211121869</v>
      </c>
      <c r="I297" s="24"/>
      <c r="J297" s="42">
        <f>J57+J296</f>
        <v>514483.56211121863</v>
      </c>
    </row>
    <row r="298" spans="1:11" s="6" customFormat="1" x14ac:dyDescent="0.25">
      <c r="A298" s="67"/>
      <c r="B298" s="67"/>
      <c r="C298" s="67"/>
      <c r="D298" s="67"/>
      <c r="E298" s="296">
        <v>447993.4221820184</v>
      </c>
      <c r="F298" s="69"/>
      <c r="G298" s="68"/>
      <c r="H298" s="296">
        <v>514483.56213101838</v>
      </c>
      <c r="I298" s="69"/>
      <c r="J298" s="68"/>
    </row>
    <row r="299" spans="1:11" s="6" customFormat="1" x14ac:dyDescent="0.25">
      <c r="A299" s="67"/>
      <c r="B299" s="67"/>
      <c r="C299" s="67"/>
      <c r="D299" s="67"/>
      <c r="E299" s="68">
        <f>E297-E298</f>
        <v>-3.5379990004003048E-4</v>
      </c>
      <c r="F299" s="69"/>
      <c r="G299" s="68"/>
      <c r="H299" s="68">
        <f>H298-H297</f>
        <v>1.9799685105681419E-5</v>
      </c>
      <c r="I299" s="69"/>
      <c r="J299" s="68"/>
    </row>
    <row r="300" spans="1:11" x14ac:dyDescent="0.25">
      <c r="E300" s="15"/>
      <c r="H300" s="15"/>
    </row>
    <row r="301" spans="1:11" x14ac:dyDescent="0.25">
      <c r="A301" s="396" t="s">
        <v>384</v>
      </c>
      <c r="B301" s="396"/>
      <c r="C301" s="396"/>
      <c r="D301" s="397"/>
      <c r="E301" s="398"/>
      <c r="H301" s="78"/>
    </row>
    <row r="302" spans="1:11" x14ac:dyDescent="0.25">
      <c r="A302" s="399" t="s">
        <v>129</v>
      </c>
      <c r="B302" s="399"/>
      <c r="C302" s="399"/>
      <c r="D302" s="400"/>
      <c r="E302" s="400"/>
      <c r="H302"/>
    </row>
    <row r="303" spans="1:11" x14ac:dyDescent="0.25">
      <c r="A303" s="399" t="s">
        <v>130</v>
      </c>
      <c r="B303" s="399"/>
      <c r="C303" s="399"/>
      <c r="D303" s="399"/>
      <c r="E303" s="318"/>
      <c r="G303" s="12"/>
      <c r="H303"/>
    </row>
    <row r="304" spans="1:11" ht="15.75" thickBot="1" x14ac:dyDescent="0.3">
      <c r="A304" s="319"/>
      <c r="B304" s="319"/>
      <c r="C304" s="401"/>
      <c r="D304" s="401"/>
      <c r="E304" s="318"/>
      <c r="F304" s="70"/>
      <c r="G304" s="70"/>
    </row>
    <row r="305" spans="1:10" ht="15.75" thickBot="1" x14ac:dyDescent="0.3">
      <c r="A305" s="320" t="s">
        <v>131</v>
      </c>
      <c r="B305" s="321" t="s">
        <v>132</v>
      </c>
      <c r="C305" s="412" t="s">
        <v>133</v>
      </c>
      <c r="D305" s="413"/>
      <c r="E305" s="318"/>
      <c r="F305" s="70"/>
      <c r="G305" s="70"/>
    </row>
    <row r="306" spans="1:10" ht="15.75" thickBot="1" x14ac:dyDescent="0.3">
      <c r="A306" s="322"/>
      <c r="B306" s="323"/>
      <c r="C306" s="412"/>
      <c r="D306" s="413"/>
      <c r="E306" s="318"/>
      <c r="F306" s="70"/>
      <c r="G306" s="70"/>
    </row>
    <row r="307" spans="1:10" ht="29.25" thickBot="1" x14ac:dyDescent="0.3">
      <c r="A307" s="324" t="s">
        <v>134</v>
      </c>
      <c r="B307" s="325">
        <v>514483.56</v>
      </c>
      <c r="C307" s="410">
        <v>447993.42</v>
      </c>
      <c r="D307" s="411"/>
      <c r="E307" s="326"/>
      <c r="F307" s="70"/>
      <c r="G307" s="70"/>
      <c r="H307" s="331"/>
      <c r="I307" s="331"/>
      <c r="J307" s="71"/>
    </row>
    <row r="308" spans="1:10" ht="15.75" thickBot="1" x14ac:dyDescent="0.3">
      <c r="A308" s="324" t="s">
        <v>135</v>
      </c>
      <c r="B308" s="325">
        <v>330993.65000000002</v>
      </c>
      <c r="C308" s="410">
        <v>330993.65000000002</v>
      </c>
      <c r="D308" s="411"/>
      <c r="E308" s="326"/>
      <c r="F308" s="70"/>
      <c r="G308" s="70"/>
      <c r="H308" s="331"/>
      <c r="I308" s="331"/>
      <c r="J308" s="71"/>
    </row>
    <row r="309" spans="1:10" ht="15.75" thickBot="1" x14ac:dyDescent="0.3">
      <c r="A309" s="324" t="s">
        <v>522</v>
      </c>
      <c r="B309" s="325">
        <v>130460.71</v>
      </c>
      <c r="C309" s="410">
        <v>130460.71</v>
      </c>
      <c r="D309" s="411"/>
      <c r="E309" s="326"/>
      <c r="F309" s="70"/>
      <c r="G309" s="70"/>
      <c r="H309" s="331"/>
      <c r="I309" s="331"/>
      <c r="J309" s="71"/>
    </row>
    <row r="310" spans="1:10" ht="29.25" thickBot="1" x14ac:dyDescent="0.3">
      <c r="A310" s="324" t="s">
        <v>523</v>
      </c>
      <c r="B310" s="325">
        <v>5358.13</v>
      </c>
      <c r="C310" s="410">
        <v>5358.13</v>
      </c>
      <c r="D310" s="411"/>
      <c r="E310" s="326"/>
      <c r="F310" s="70"/>
      <c r="G310" s="70"/>
      <c r="H310" s="331"/>
      <c r="I310" s="331"/>
      <c r="J310" s="71"/>
    </row>
    <row r="311" spans="1:10" ht="29.25" thickBot="1" x14ac:dyDescent="0.3">
      <c r="A311" s="324" t="s">
        <v>136</v>
      </c>
      <c r="B311" s="325">
        <v>124910.75</v>
      </c>
      <c r="C311" s="410">
        <v>123580.8</v>
      </c>
      <c r="D311" s="411"/>
      <c r="E311" s="326"/>
      <c r="F311" s="70"/>
      <c r="G311" s="70"/>
      <c r="H311" s="331"/>
      <c r="I311" s="331"/>
      <c r="J311" s="71"/>
    </row>
    <row r="312" spans="1:10" ht="15.75" thickBot="1" x14ac:dyDescent="0.3">
      <c r="A312" s="327" t="s">
        <v>137</v>
      </c>
      <c r="B312" s="328">
        <v>1553.22</v>
      </c>
      <c r="C312" s="406">
        <v>1816.83</v>
      </c>
      <c r="D312" s="414"/>
      <c r="E312" s="326"/>
      <c r="F312" s="70"/>
      <c r="G312" s="70"/>
      <c r="H312" s="331"/>
      <c r="I312" s="331"/>
      <c r="J312" s="71"/>
    </row>
    <row r="313" spans="1:10" ht="15.75" thickBot="1" x14ac:dyDescent="0.3">
      <c r="A313" s="327" t="s">
        <v>138</v>
      </c>
      <c r="B313" s="329">
        <v>123357.53</v>
      </c>
      <c r="C313" s="406">
        <v>121763.97</v>
      </c>
      <c r="D313" s="407"/>
      <c r="E313" s="326"/>
      <c r="F313" s="70"/>
      <c r="G313" s="70"/>
      <c r="H313" s="331"/>
      <c r="I313" s="331"/>
      <c r="J313" s="71"/>
    </row>
    <row r="314" spans="1:10" ht="72" thickBot="1" x14ac:dyDescent="0.3">
      <c r="A314" s="324" t="s">
        <v>143</v>
      </c>
      <c r="B314" s="330">
        <v>416928.91</v>
      </c>
      <c r="C314" s="408">
        <v>402791.96</v>
      </c>
      <c r="D314" s="409"/>
      <c r="E314" s="326"/>
      <c r="F314" s="70"/>
      <c r="G314" s="70"/>
      <c r="H314" s="331"/>
      <c r="I314" s="331"/>
      <c r="J314" s="71"/>
    </row>
    <row r="315" spans="1:10" ht="15.75" thickBot="1" x14ac:dyDescent="0.3">
      <c r="A315" s="324" t="s">
        <v>524</v>
      </c>
      <c r="B315" s="325">
        <v>2684.24</v>
      </c>
      <c r="C315" s="410">
        <v>2684.24</v>
      </c>
      <c r="D315" s="411"/>
      <c r="E315" s="326"/>
      <c r="F315" s="70"/>
      <c r="G315" s="70"/>
      <c r="H315" s="331"/>
      <c r="I315" s="331"/>
      <c r="J315" s="71"/>
    </row>
    <row r="316" spans="1:10" ht="43.5" thickBot="1" x14ac:dyDescent="0.3">
      <c r="A316" s="324" t="s">
        <v>140</v>
      </c>
      <c r="B316" s="325">
        <v>-10946.97</v>
      </c>
      <c r="C316" s="410">
        <v>-10320.94</v>
      </c>
      <c r="D316" s="411"/>
      <c r="E316" s="326"/>
      <c r="F316" s="70"/>
      <c r="G316" s="70"/>
      <c r="H316" s="331"/>
      <c r="I316" s="331"/>
      <c r="J316" s="71"/>
    </row>
    <row r="317" spans="1:10" ht="29.25" thickBot="1" x14ac:dyDescent="0.3">
      <c r="A317" s="327" t="s">
        <v>141</v>
      </c>
      <c r="B317" s="329">
        <v>74546.3</v>
      </c>
      <c r="C317" s="406">
        <v>73920.27</v>
      </c>
      <c r="D317" s="407"/>
      <c r="E317" s="326"/>
      <c r="F317" s="70"/>
      <c r="G317" s="70"/>
      <c r="H317" s="331"/>
      <c r="I317" s="331"/>
      <c r="J317" s="71"/>
    </row>
    <row r="318" spans="1:10" ht="15.75" thickBot="1" x14ac:dyDescent="0.3">
      <c r="A318" s="327" t="s">
        <v>142</v>
      </c>
      <c r="B318" s="329">
        <v>63599.33</v>
      </c>
      <c r="C318" s="406">
        <v>63599.33</v>
      </c>
      <c r="D318" s="407"/>
      <c r="E318" s="326"/>
      <c r="F318" s="70"/>
      <c r="G318" s="70"/>
      <c r="H318" s="331"/>
      <c r="I318" s="331"/>
      <c r="J318" s="71"/>
    </row>
    <row r="319" spans="1:10" x14ac:dyDescent="0.25">
      <c r="A319" s="1"/>
      <c r="B319" s="15"/>
      <c r="C319" s="463"/>
      <c r="D319" s="464"/>
      <c r="E319" s="326"/>
      <c r="F319" s="70"/>
      <c r="G319" s="70"/>
      <c r="H319" s="331"/>
      <c r="I319" s="331"/>
      <c r="J319" s="71"/>
    </row>
    <row r="320" spans="1:10" x14ac:dyDescent="0.25">
      <c r="E320" s="70"/>
      <c r="F320" s="70"/>
      <c r="G320" s="70"/>
      <c r="H320" s="70"/>
      <c r="I320" s="70"/>
    </row>
    <row r="321" spans="1:10" x14ac:dyDescent="0.25">
      <c r="A321" s="72" t="s">
        <v>144</v>
      </c>
      <c r="B321" s="73"/>
      <c r="C321" s="71"/>
      <c r="D321" s="71"/>
      <c r="E321" s="74" t="s">
        <v>145</v>
      </c>
      <c r="G321" s="71"/>
      <c r="J321" s="1"/>
    </row>
    <row r="322" spans="1:10" x14ac:dyDescent="0.25">
      <c r="A322" s="72"/>
      <c r="B322" s="74"/>
      <c r="C322" s="74"/>
      <c r="G322" s="71"/>
      <c r="J322" s="1"/>
    </row>
    <row r="323" spans="1:10" x14ac:dyDescent="0.25">
      <c r="A323" s="72"/>
      <c r="B323" s="74"/>
      <c r="C323" s="74"/>
      <c r="G323" s="71"/>
      <c r="J323" s="1"/>
    </row>
    <row r="324" spans="1:10" x14ac:dyDescent="0.25">
      <c r="A324" s="72"/>
      <c r="B324" s="74"/>
      <c r="C324" s="74"/>
      <c r="G324" s="71"/>
      <c r="J324" s="1"/>
    </row>
    <row r="325" spans="1:10" x14ac:dyDescent="0.25">
      <c r="A325" s="72"/>
      <c r="B325" s="74"/>
      <c r="C325" s="74"/>
      <c r="G325" s="71"/>
      <c r="J325" s="1"/>
    </row>
    <row r="326" spans="1:10" x14ac:dyDescent="0.25">
      <c r="A326" s="72" t="s">
        <v>146</v>
      </c>
      <c r="B326" s="74"/>
      <c r="C326" s="71"/>
      <c r="D326" s="71"/>
      <c r="E326" s="74" t="s">
        <v>147</v>
      </c>
      <c r="G326" s="71"/>
      <c r="J326" s="1"/>
    </row>
  </sheetData>
  <mergeCells count="302">
    <mergeCell ref="C319:D319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A8:J8"/>
    <mergeCell ref="A9:A14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26:A48"/>
    <mergeCell ref="C142:C145"/>
    <mergeCell ref="B14:C14"/>
    <mergeCell ref="A15:A19"/>
    <mergeCell ref="B15:B16"/>
    <mergeCell ref="C15:C16"/>
    <mergeCell ref="D15:D16"/>
    <mergeCell ref="E15:E16"/>
    <mergeCell ref="F15:F16"/>
    <mergeCell ref="G15:G16"/>
    <mergeCell ref="H15:H16"/>
    <mergeCell ref="I20:I21"/>
    <mergeCell ref="J20:J21"/>
    <mergeCell ref="A22:A23"/>
    <mergeCell ref="B22:B23"/>
    <mergeCell ref="C22:C23"/>
    <mergeCell ref="D22:D23"/>
    <mergeCell ref="E22:E23"/>
    <mergeCell ref="I15:I16"/>
    <mergeCell ref="J15:J16"/>
    <mergeCell ref="A20:A21"/>
    <mergeCell ref="B20:B21"/>
    <mergeCell ref="C20:C21"/>
    <mergeCell ref="D20:D21"/>
    <mergeCell ref="E20:E21"/>
    <mergeCell ref="F20:F21"/>
    <mergeCell ref="G20:G21"/>
    <mergeCell ref="H20:H21"/>
    <mergeCell ref="B26:B28"/>
    <mergeCell ref="C26:C28"/>
    <mergeCell ref="D26:D28"/>
    <mergeCell ref="E26:E28"/>
    <mergeCell ref="H26:H28"/>
    <mergeCell ref="B29:B32"/>
    <mergeCell ref="C29:C32"/>
    <mergeCell ref="D29:D32"/>
    <mergeCell ref="E29:E32"/>
    <mergeCell ref="B44:C44"/>
    <mergeCell ref="B45:C45"/>
    <mergeCell ref="B46:C46"/>
    <mergeCell ref="B47:C47"/>
    <mergeCell ref="A50:A51"/>
    <mergeCell ref="H29:H32"/>
    <mergeCell ref="B36:B38"/>
    <mergeCell ref="C36:C38"/>
    <mergeCell ref="D36:D38"/>
    <mergeCell ref="E36:E38"/>
    <mergeCell ref="B40:B43"/>
    <mergeCell ref="C40:C43"/>
    <mergeCell ref="D40:D43"/>
    <mergeCell ref="E40:E43"/>
    <mergeCell ref="A61:A109"/>
    <mergeCell ref="E96:E114"/>
    <mergeCell ref="H96:H114"/>
    <mergeCell ref="D101:D114"/>
    <mergeCell ref="C101:C114"/>
    <mergeCell ref="B96:B114"/>
    <mergeCell ref="A110:A128"/>
    <mergeCell ref="B117:C117"/>
    <mergeCell ref="B118:B120"/>
    <mergeCell ref="D118:D120"/>
    <mergeCell ref="B122:C122"/>
    <mergeCell ref="B125:C125"/>
    <mergeCell ref="B126:C126"/>
    <mergeCell ref="B127:C127"/>
    <mergeCell ref="B128:C128"/>
    <mergeCell ref="E84:E92"/>
    <mergeCell ref="H84:H92"/>
    <mergeCell ref="B93:C93"/>
    <mergeCell ref="B83:C83"/>
    <mergeCell ref="B61:B82"/>
    <mergeCell ref="C61:C82"/>
    <mergeCell ref="D61:D82"/>
    <mergeCell ref="E61:E82"/>
    <mergeCell ref="H61:H82"/>
    <mergeCell ref="I146:I149"/>
    <mergeCell ref="J146:J149"/>
    <mergeCell ref="I152:I153"/>
    <mergeCell ref="F152:F153"/>
    <mergeCell ref="B123:C123"/>
    <mergeCell ref="B124:C124"/>
    <mergeCell ref="C119:C120"/>
    <mergeCell ref="F99:F100"/>
    <mergeCell ref="B115:C115"/>
    <mergeCell ref="B116:C116"/>
    <mergeCell ref="C96:C100"/>
    <mergeCell ref="D96:D100"/>
    <mergeCell ref="D131:D132"/>
    <mergeCell ref="E131:E132"/>
    <mergeCell ref="B137:B139"/>
    <mergeCell ref="C137:C139"/>
    <mergeCell ref="D137:D139"/>
    <mergeCell ref="B142:B145"/>
    <mergeCell ref="B131:B132"/>
    <mergeCell ref="C131:C132"/>
    <mergeCell ref="B84:B92"/>
    <mergeCell ref="C84:C92"/>
    <mergeCell ref="D84:D92"/>
    <mergeCell ref="B94:C94"/>
    <mergeCell ref="B95:C95"/>
    <mergeCell ref="H154:H156"/>
    <mergeCell ref="B157:C157"/>
    <mergeCell ref="B159:B160"/>
    <mergeCell ref="C159:C160"/>
    <mergeCell ref="D159:D160"/>
    <mergeCell ref="E159:E160"/>
    <mergeCell ref="H146:H149"/>
    <mergeCell ref="G168:G170"/>
    <mergeCell ref="B171:B174"/>
    <mergeCell ref="C171:C174"/>
    <mergeCell ref="D171:D174"/>
    <mergeCell ref="E171:E174"/>
    <mergeCell ref="B154:B156"/>
    <mergeCell ref="C154:C156"/>
    <mergeCell ref="D154:D156"/>
    <mergeCell ref="E154:E156"/>
    <mergeCell ref="B215:C215"/>
    <mergeCell ref="A216:A220"/>
    <mergeCell ref="B218:B220"/>
    <mergeCell ref="C218:C220"/>
    <mergeCell ref="D218:D220"/>
    <mergeCell ref="E218:E220"/>
    <mergeCell ref="H204:H206"/>
    <mergeCell ref="B214:C214"/>
    <mergeCell ref="B211:B213"/>
    <mergeCell ref="C211:C213"/>
    <mergeCell ref="D211:D213"/>
    <mergeCell ref="E211:E213"/>
    <mergeCell ref="H211:H213"/>
    <mergeCell ref="A204:A215"/>
    <mergeCell ref="B204:B206"/>
    <mergeCell ref="C204:C206"/>
    <mergeCell ref="D204:D206"/>
    <mergeCell ref="E204:E206"/>
    <mergeCell ref="C229:C232"/>
    <mergeCell ref="D229:D232"/>
    <mergeCell ref="E229:E232"/>
    <mergeCell ref="B233:C233"/>
    <mergeCell ref="B234:C234"/>
    <mergeCell ref="A235:A236"/>
    <mergeCell ref="B235:B236"/>
    <mergeCell ref="C235:C236"/>
    <mergeCell ref="D235:D236"/>
    <mergeCell ref="E235:E236"/>
    <mergeCell ref="A222:A234"/>
    <mergeCell ref="B226:B228"/>
    <mergeCell ref="C226:C228"/>
    <mergeCell ref="D226:D228"/>
    <mergeCell ref="E226:E228"/>
    <mergeCell ref="B229:B232"/>
    <mergeCell ref="B223:B225"/>
    <mergeCell ref="C223:C225"/>
    <mergeCell ref="D223:D225"/>
    <mergeCell ref="E223:E225"/>
    <mergeCell ref="B256:C256"/>
    <mergeCell ref="B257:C257"/>
    <mergeCell ref="B258:C258"/>
    <mergeCell ref="B259:C259"/>
    <mergeCell ref="B260:C260"/>
    <mergeCell ref="A261:A264"/>
    <mergeCell ref="B261:B264"/>
    <mergeCell ref="C261:C264"/>
    <mergeCell ref="H235:H236"/>
    <mergeCell ref="A237:A238"/>
    <mergeCell ref="A239:A260"/>
    <mergeCell ref="B239:B253"/>
    <mergeCell ref="C239:C253"/>
    <mergeCell ref="D239:D253"/>
    <mergeCell ref="E239:E253"/>
    <mergeCell ref="H239:H253"/>
    <mergeCell ref="B254:C254"/>
    <mergeCell ref="B255:C255"/>
    <mergeCell ref="D261:D264"/>
    <mergeCell ref="E261:E264"/>
    <mergeCell ref="H261:H264"/>
    <mergeCell ref="I262:I264"/>
    <mergeCell ref="A265:A275"/>
    <mergeCell ref="B265:B275"/>
    <mergeCell ref="C265:C275"/>
    <mergeCell ref="D265:D275"/>
    <mergeCell ref="E265:E275"/>
    <mergeCell ref="H265:H275"/>
    <mergeCell ref="I265:I266"/>
    <mergeCell ref="I267:I268"/>
    <mergeCell ref="I270:I275"/>
    <mergeCell ref="A276:A281"/>
    <mergeCell ref="B276:B281"/>
    <mergeCell ref="C276:C281"/>
    <mergeCell ref="D276:D281"/>
    <mergeCell ref="E276:E281"/>
    <mergeCell ref="H276:H281"/>
    <mergeCell ref="I276:I277"/>
    <mergeCell ref="D290:D292"/>
    <mergeCell ref="E290:E292"/>
    <mergeCell ref="H290:H291"/>
    <mergeCell ref="A282:A288"/>
    <mergeCell ref="B284:B288"/>
    <mergeCell ref="C284:C288"/>
    <mergeCell ref="D284:D288"/>
    <mergeCell ref="E284:E288"/>
    <mergeCell ref="H284:H287"/>
    <mergeCell ref="C313:D313"/>
    <mergeCell ref="C314:D314"/>
    <mergeCell ref="C315:D315"/>
    <mergeCell ref="C316:D316"/>
    <mergeCell ref="C317:D317"/>
    <mergeCell ref="C318:D318"/>
    <mergeCell ref="C305:D305"/>
    <mergeCell ref="C306:D306"/>
    <mergeCell ref="C307:D307"/>
    <mergeCell ref="C308:D308"/>
    <mergeCell ref="C311:D311"/>
    <mergeCell ref="C312:D312"/>
    <mergeCell ref="C309:D309"/>
    <mergeCell ref="C310:D310"/>
    <mergeCell ref="A301:C301"/>
    <mergeCell ref="D301:E301"/>
    <mergeCell ref="A302:C302"/>
    <mergeCell ref="D302:E302"/>
    <mergeCell ref="A303:D303"/>
    <mergeCell ref="C304:D304"/>
    <mergeCell ref="A290:A292"/>
    <mergeCell ref="B290:B292"/>
    <mergeCell ref="C290:C292"/>
    <mergeCell ref="A159:A167"/>
    <mergeCell ref="B168:B170"/>
    <mergeCell ref="C168:C170"/>
    <mergeCell ref="D168:D170"/>
    <mergeCell ref="E168:E170"/>
    <mergeCell ref="F168:F170"/>
    <mergeCell ref="E146:E149"/>
    <mergeCell ref="C182:C183"/>
    <mergeCell ref="D182:D183"/>
    <mergeCell ref="E182:E183"/>
    <mergeCell ref="C175:C178"/>
    <mergeCell ref="D175:D178"/>
    <mergeCell ref="E175:E178"/>
    <mergeCell ref="B179:B181"/>
    <mergeCell ref="C179:C181"/>
    <mergeCell ref="D179:D181"/>
    <mergeCell ref="E179:E181"/>
    <mergeCell ref="B182:B183"/>
    <mergeCell ref="B175:B178"/>
    <mergeCell ref="A154:A158"/>
    <mergeCell ref="A130:A153"/>
    <mergeCell ref="B146:C149"/>
    <mergeCell ref="D146:D149"/>
    <mergeCell ref="B150:C153"/>
    <mergeCell ref="B186:B187"/>
    <mergeCell ref="C186:C187"/>
    <mergeCell ref="D186:D187"/>
    <mergeCell ref="E186:E187"/>
    <mergeCell ref="B191:B192"/>
    <mergeCell ref="C191:C192"/>
    <mergeCell ref="D191:D192"/>
    <mergeCell ref="E191:E192"/>
    <mergeCell ref="A168:A203"/>
    <mergeCell ref="E197:E201"/>
    <mergeCell ref="B197:B201"/>
    <mergeCell ref="C197:C201"/>
    <mergeCell ref="D197:D201"/>
    <mergeCell ref="B202:D202"/>
    <mergeCell ref="B203:D203"/>
    <mergeCell ref="B184:B185"/>
    <mergeCell ref="C184:C185"/>
    <mergeCell ref="D184:D185"/>
    <mergeCell ref="E184:E185"/>
    <mergeCell ref="D195:D196"/>
    <mergeCell ref="E195:E196"/>
    <mergeCell ref="H197:H201"/>
    <mergeCell ref="B207:B208"/>
    <mergeCell ref="C207:C208"/>
    <mergeCell ref="D207:D208"/>
    <mergeCell ref="E207:E208"/>
    <mergeCell ref="B193:B194"/>
    <mergeCell ref="C193:C194"/>
    <mergeCell ref="D193:D194"/>
    <mergeCell ref="E193:E194"/>
    <mergeCell ref="B195:B196"/>
    <mergeCell ref="C195:C196"/>
  </mergeCells>
  <pageMargins left="0" right="0" top="0" bottom="0" header="0" footer="0"/>
  <pageSetup paperSize="9" scale="48" fitToHeight="0" orientation="portrait" r:id="rId1"/>
  <rowBreaks count="3" manualBreakCount="3">
    <brk id="59" max="9" man="1"/>
    <brk id="221" max="9" man="1"/>
    <brk id="289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K334"/>
  <sheetViews>
    <sheetView view="pageBreakPreview" topLeftCell="A117" zoomScale="70" zoomScaleNormal="85" zoomScaleSheetLayoutView="70" zoomScalePageLayoutView="40" workbookViewId="0">
      <selection activeCell="K228" sqref="K1:R1048576"/>
    </sheetView>
  </sheetViews>
  <sheetFormatPr defaultColWidth="9.140625" defaultRowHeight="15" x14ac:dyDescent="0.25"/>
  <cols>
    <col min="1" max="1" width="41.7109375" style="6" customWidth="1"/>
    <col min="2" max="2" width="2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20.28515625" style="1" customWidth="1"/>
    <col min="7" max="7" width="14.42578125" style="1" customWidth="1"/>
    <col min="8" max="8" width="17.85546875" style="1" customWidth="1"/>
    <col min="9" max="9" width="17.140625" style="1" customWidth="1"/>
    <col min="10" max="10" width="15.7109375" style="12" customWidth="1"/>
    <col min="11" max="11" width="13.42578125" style="5" customWidth="1"/>
    <col min="12" max="16384" width="9.140625" style="5"/>
  </cols>
  <sheetData>
    <row r="1" spans="1:10" ht="28.5" customHeight="1" x14ac:dyDescent="0.25">
      <c r="A1" s="1"/>
      <c r="F1" s="2"/>
      <c r="G1" s="3"/>
      <c r="H1" s="4"/>
      <c r="I1" s="3"/>
      <c r="J1" s="3"/>
    </row>
    <row r="2" spans="1:10" ht="15.75" x14ac:dyDescent="0.25">
      <c r="A2" s="465" t="s">
        <v>0</v>
      </c>
      <c r="B2" s="465"/>
      <c r="C2" s="465"/>
      <c r="D2" s="465"/>
      <c r="E2" s="465"/>
      <c r="F2" s="465"/>
      <c r="G2" s="465"/>
      <c r="H2" s="465"/>
      <c r="I2" s="465"/>
      <c r="J2" s="465"/>
    </row>
    <row r="3" spans="1:10" ht="15.75" x14ac:dyDescent="0.25">
      <c r="A3" s="466" t="s">
        <v>1</v>
      </c>
      <c r="B3" s="466"/>
      <c r="C3" s="466"/>
      <c r="D3" s="466"/>
      <c r="E3" s="466"/>
      <c r="F3" s="466"/>
      <c r="G3" s="466"/>
      <c r="H3" s="466"/>
      <c r="I3" s="466"/>
      <c r="J3" s="466"/>
    </row>
    <row r="4" spans="1:10" ht="15.75" x14ac:dyDescent="0.25">
      <c r="A4" s="467" t="s">
        <v>299</v>
      </c>
      <c r="B4" s="467"/>
      <c r="C4" s="467"/>
      <c r="D4" s="467"/>
      <c r="E4" s="467"/>
      <c r="F4" s="467"/>
      <c r="G4" s="467"/>
      <c r="H4" s="467"/>
      <c r="I4" s="467"/>
      <c r="J4" s="467"/>
    </row>
    <row r="5" spans="1:10" ht="16.5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7"/>
    </row>
    <row r="6" spans="1:10" ht="15.75" x14ac:dyDescent="0.25">
      <c r="A6" s="468" t="s">
        <v>2</v>
      </c>
      <c r="B6" s="470" t="s">
        <v>3</v>
      </c>
      <c r="C6" s="471"/>
      <c r="D6" s="472" t="s">
        <v>4</v>
      </c>
      <c r="E6" s="472" t="s">
        <v>5</v>
      </c>
      <c r="F6" s="474" t="s">
        <v>6</v>
      </c>
      <c r="G6" s="475"/>
      <c r="H6" s="476" t="s">
        <v>7</v>
      </c>
      <c r="I6" s="478" t="s">
        <v>8</v>
      </c>
      <c r="J6" s="479"/>
    </row>
    <row r="7" spans="1:10" ht="64.5" customHeight="1" thickBot="1" x14ac:dyDescent="0.3">
      <c r="A7" s="469"/>
      <c r="B7" s="8" t="s">
        <v>9</v>
      </c>
      <c r="C7" s="8" t="s">
        <v>10</v>
      </c>
      <c r="D7" s="473"/>
      <c r="E7" s="473"/>
      <c r="F7" s="9" t="s">
        <v>11</v>
      </c>
      <c r="G7" s="10" t="s">
        <v>12</v>
      </c>
      <c r="H7" s="477"/>
      <c r="I7" s="9" t="s">
        <v>11</v>
      </c>
      <c r="J7" s="11" t="s">
        <v>12</v>
      </c>
    </row>
    <row r="8" spans="1:10" ht="16.5" thickBot="1" x14ac:dyDescent="0.3">
      <c r="A8" s="480" t="s">
        <v>13</v>
      </c>
      <c r="B8" s="481"/>
      <c r="C8" s="481"/>
      <c r="D8" s="481"/>
      <c r="E8" s="481"/>
      <c r="F8" s="481"/>
      <c r="G8" s="481"/>
      <c r="H8" s="481"/>
      <c r="I8" s="481"/>
      <c r="J8" s="482"/>
    </row>
    <row r="9" spans="1:10" ht="38.25" customHeight="1" x14ac:dyDescent="0.25">
      <c r="A9" s="532" t="s">
        <v>300</v>
      </c>
      <c r="B9" s="459" t="s">
        <v>304</v>
      </c>
      <c r="C9" s="459" t="s">
        <v>302</v>
      </c>
      <c r="D9" s="537">
        <f>1286965.59/1000</f>
        <v>1286.96559</v>
      </c>
      <c r="E9" s="537">
        <f>G9</f>
        <v>12.34919</v>
      </c>
      <c r="F9" s="459" t="s">
        <v>303</v>
      </c>
      <c r="G9" s="538">
        <f>12349.19/1000</f>
        <v>12.34919</v>
      </c>
      <c r="H9" s="420"/>
      <c r="I9" s="438"/>
      <c r="J9" s="457"/>
    </row>
    <row r="10" spans="1:10" ht="26.25" customHeight="1" x14ac:dyDescent="0.25">
      <c r="A10" s="533"/>
      <c r="B10" s="460"/>
      <c r="C10" s="460"/>
      <c r="D10" s="442"/>
      <c r="E10" s="442"/>
      <c r="F10" s="460"/>
      <c r="G10" s="492"/>
      <c r="H10" s="364"/>
      <c r="I10" s="364"/>
      <c r="J10" s="458"/>
    </row>
    <row r="11" spans="1:10" ht="30.75" customHeight="1" x14ac:dyDescent="0.25">
      <c r="A11" s="533"/>
      <c r="B11" s="242" t="s">
        <v>306</v>
      </c>
      <c r="C11" s="242" t="s">
        <v>305</v>
      </c>
      <c r="D11" s="244">
        <f>3670300/1000</f>
        <v>3670.3</v>
      </c>
      <c r="E11" s="244">
        <f>G11</f>
        <v>1606</v>
      </c>
      <c r="F11" s="242" t="s">
        <v>311</v>
      </c>
      <c r="G11" s="113">
        <f>1606000/1000</f>
        <v>1606</v>
      </c>
      <c r="H11" s="225"/>
      <c r="I11" s="225"/>
      <c r="J11" s="247"/>
    </row>
    <row r="12" spans="1:10" ht="40.5" customHeight="1" x14ac:dyDescent="0.25">
      <c r="A12" s="533"/>
      <c r="B12" s="242" t="s">
        <v>308</v>
      </c>
      <c r="C12" s="242" t="s">
        <v>266</v>
      </c>
      <c r="D12" s="244">
        <f>8817712.56/1000</f>
        <v>8817.7125599999999</v>
      </c>
      <c r="E12" s="244">
        <f>G12</f>
        <v>1521.30395</v>
      </c>
      <c r="F12" s="242" t="s">
        <v>309</v>
      </c>
      <c r="G12" s="249">
        <f>1521303.95/1000</f>
        <v>1521.30395</v>
      </c>
      <c r="H12" s="225"/>
      <c r="I12" s="225"/>
      <c r="J12" s="247"/>
    </row>
    <row r="13" spans="1:10" ht="40.5" customHeight="1" x14ac:dyDescent="0.25">
      <c r="A13" s="533"/>
      <c r="B13" s="277" t="s">
        <v>406</v>
      </c>
      <c r="C13" s="277" t="s">
        <v>408</v>
      </c>
      <c r="D13" s="243">
        <f>9507666.77/1000</f>
        <v>9507.6667699999998</v>
      </c>
      <c r="E13" s="244"/>
      <c r="F13" s="242"/>
      <c r="G13" s="242"/>
      <c r="H13" s="215">
        <f>J13</f>
        <v>1356.5876254</v>
      </c>
      <c r="I13" s="113" t="s">
        <v>407</v>
      </c>
      <c r="J13" s="273">
        <f>1149650.53*1.18/1000</f>
        <v>1356.5876254</v>
      </c>
    </row>
    <row r="14" spans="1:10" ht="15.75" thickBot="1" x14ac:dyDescent="0.3">
      <c r="A14" s="533"/>
      <c r="B14" s="531" t="s">
        <v>485</v>
      </c>
      <c r="C14" s="531"/>
      <c r="D14" s="276"/>
      <c r="E14" s="98"/>
      <c r="F14" s="248"/>
      <c r="G14" s="248"/>
      <c r="H14" s="226">
        <f>J14</f>
        <v>60.805541599999998</v>
      </c>
      <c r="I14" s="186" t="s">
        <v>251</v>
      </c>
      <c r="J14" s="270">
        <f>51530.12*1.18/1000</f>
        <v>60.805541599999998</v>
      </c>
    </row>
    <row r="15" spans="1:10" ht="32.25" customHeight="1" x14ac:dyDescent="0.25">
      <c r="A15" s="534" t="s">
        <v>301</v>
      </c>
      <c r="B15" s="459" t="s">
        <v>304</v>
      </c>
      <c r="C15" s="459" t="s">
        <v>302</v>
      </c>
      <c r="D15" s="537">
        <f>1286965.59/1000</f>
        <v>1286.96559</v>
      </c>
      <c r="E15" s="537">
        <f>G15</f>
        <v>7.0566800000000001</v>
      </c>
      <c r="F15" s="459" t="s">
        <v>310</v>
      </c>
      <c r="G15" s="461">
        <f>7056.68/1000</f>
        <v>7.0566800000000001</v>
      </c>
      <c r="H15" s="420"/>
      <c r="I15" s="438"/>
      <c r="J15" s="457"/>
    </row>
    <row r="16" spans="1:10" ht="30.75" customHeight="1" x14ac:dyDescent="0.25">
      <c r="A16" s="535"/>
      <c r="B16" s="460"/>
      <c r="C16" s="460"/>
      <c r="D16" s="442"/>
      <c r="E16" s="442"/>
      <c r="F16" s="460"/>
      <c r="G16" s="462"/>
      <c r="H16" s="364"/>
      <c r="I16" s="364"/>
      <c r="J16" s="458"/>
    </row>
    <row r="17" spans="1:10" ht="30.75" customHeight="1" x14ac:dyDescent="0.25">
      <c r="A17" s="535"/>
      <c r="B17" s="242" t="s">
        <v>306</v>
      </c>
      <c r="C17" s="242" t="s">
        <v>305</v>
      </c>
      <c r="D17" s="244">
        <f>3670300/1000</f>
        <v>3670.3</v>
      </c>
      <c r="E17" s="244">
        <f>G17</f>
        <v>2064.3000000000002</v>
      </c>
      <c r="F17" s="242" t="s">
        <v>307</v>
      </c>
      <c r="G17" s="243">
        <f>2064300/1000</f>
        <v>2064.3000000000002</v>
      </c>
      <c r="H17" s="225"/>
      <c r="I17" s="225"/>
      <c r="J17" s="247"/>
    </row>
    <row r="18" spans="1:10" ht="30.75" customHeight="1" x14ac:dyDescent="0.25">
      <c r="A18" s="535"/>
      <c r="B18" s="242" t="s">
        <v>308</v>
      </c>
      <c r="C18" s="242" t="s">
        <v>266</v>
      </c>
      <c r="D18" s="244">
        <f>8817712.56/1000</f>
        <v>8817.7125599999999</v>
      </c>
      <c r="E18" s="244">
        <f>G18</f>
        <v>776.98739</v>
      </c>
      <c r="F18" s="242" t="s">
        <v>312</v>
      </c>
      <c r="G18" s="243">
        <f>776987.39/1000</f>
        <v>776.98739</v>
      </c>
      <c r="H18" s="225"/>
      <c r="I18" s="225"/>
      <c r="J18" s="247"/>
    </row>
    <row r="19" spans="1:10" ht="30.75" customHeight="1" thickBot="1" x14ac:dyDescent="0.3">
      <c r="A19" s="536"/>
      <c r="B19" s="114" t="s">
        <v>232</v>
      </c>
      <c r="C19" s="114" t="s">
        <v>233</v>
      </c>
      <c r="D19" s="115"/>
      <c r="E19" s="115">
        <f>G19</f>
        <v>1605.1475453999999</v>
      </c>
      <c r="F19" s="114" t="s">
        <v>403</v>
      </c>
      <c r="G19" s="278">
        <v>1605.1475453999999</v>
      </c>
      <c r="H19" s="278">
        <f>J19</f>
        <v>0</v>
      </c>
      <c r="I19" s="114"/>
      <c r="J19" s="279"/>
    </row>
    <row r="20" spans="1:10" ht="35.25" customHeight="1" x14ac:dyDescent="0.25">
      <c r="A20" s="425" t="s">
        <v>221</v>
      </c>
      <c r="B20" s="366" t="s">
        <v>86</v>
      </c>
      <c r="C20" s="366" t="s">
        <v>222</v>
      </c>
      <c r="D20" s="363">
        <f>4452500/1000</f>
        <v>4452.5</v>
      </c>
      <c r="E20" s="363" t="str">
        <f>G20</f>
        <v>-</v>
      </c>
      <c r="F20" s="366"/>
      <c r="G20" s="380" t="s">
        <v>251</v>
      </c>
      <c r="H20" s="363">
        <f>J20</f>
        <v>1449.8873108</v>
      </c>
      <c r="I20" s="366" t="s">
        <v>240</v>
      </c>
      <c r="J20" s="455">
        <v>1449.8873108</v>
      </c>
    </row>
    <row r="21" spans="1:10" ht="25.5" customHeight="1" thickBot="1" x14ac:dyDescent="0.3">
      <c r="A21" s="387"/>
      <c r="B21" s="432"/>
      <c r="C21" s="432"/>
      <c r="D21" s="436"/>
      <c r="E21" s="436"/>
      <c r="F21" s="432"/>
      <c r="G21" s="405"/>
      <c r="H21" s="432"/>
      <c r="I21" s="432"/>
      <c r="J21" s="456"/>
    </row>
    <row r="22" spans="1:10" s="6" customFormat="1" ht="60.75" customHeight="1" x14ac:dyDescent="0.25">
      <c r="A22" s="385" t="s">
        <v>14</v>
      </c>
      <c r="B22" s="438" t="s">
        <v>15</v>
      </c>
      <c r="C22" s="438" t="s">
        <v>16</v>
      </c>
      <c r="D22" s="420">
        <f>17859290*1.18/1000</f>
        <v>21073.962199999998</v>
      </c>
      <c r="E22" s="420">
        <f>SUM(G22:G23)</f>
        <v>21073.962199999998</v>
      </c>
      <c r="F22" s="16" t="s">
        <v>17</v>
      </c>
      <c r="G22" s="17">
        <f>18035178.41/1000</f>
        <v>18035.17841</v>
      </c>
      <c r="H22" s="17">
        <f>SUM(J22:J22)</f>
        <v>0</v>
      </c>
      <c r="I22" s="16" t="s">
        <v>18</v>
      </c>
      <c r="J22" s="18" t="s">
        <v>18</v>
      </c>
    </row>
    <row r="23" spans="1:10" s="6" customFormat="1" ht="29.25" thickBot="1" x14ac:dyDescent="0.3">
      <c r="A23" s="387"/>
      <c r="B23" s="432"/>
      <c r="C23" s="432"/>
      <c r="D23" s="436"/>
      <c r="E23" s="436"/>
      <c r="F23" s="19" t="s">
        <v>211</v>
      </c>
      <c r="G23" s="20">
        <v>3038.7837899999977</v>
      </c>
      <c r="H23" s="20">
        <f>SUM(J23:J23)</f>
        <v>0</v>
      </c>
      <c r="I23" s="19" t="s">
        <v>18</v>
      </c>
      <c r="J23" s="21" t="s">
        <v>18</v>
      </c>
    </row>
    <row r="24" spans="1:10" s="6" customFormat="1" ht="63" customHeight="1" thickBot="1" x14ac:dyDescent="0.3">
      <c r="A24" s="22" t="s">
        <v>19</v>
      </c>
      <c r="B24" s="23" t="s">
        <v>15</v>
      </c>
      <c r="C24" s="23" t="s">
        <v>20</v>
      </c>
      <c r="D24" s="24">
        <f>10176490*1.18/1000</f>
        <v>12008.258199999998</v>
      </c>
      <c r="E24" s="24">
        <f>SUM(G24:G24)</f>
        <v>12008.258199999998</v>
      </c>
      <c r="F24" s="25" t="s">
        <v>17</v>
      </c>
      <c r="G24" s="24">
        <f>12008258.2/1000</f>
        <v>12008.258199999998</v>
      </c>
      <c r="H24" s="24">
        <f>SUM(J24:J24)</f>
        <v>0</v>
      </c>
      <c r="I24" s="25" t="s">
        <v>18</v>
      </c>
      <c r="J24" s="26" t="s">
        <v>18</v>
      </c>
    </row>
    <row r="25" spans="1:10" s="6" customFormat="1" ht="62.25" customHeight="1" thickBot="1" x14ac:dyDescent="0.3">
      <c r="A25" s="27" t="s">
        <v>21</v>
      </c>
      <c r="B25" s="23" t="s">
        <v>15</v>
      </c>
      <c r="C25" s="23" t="s">
        <v>20</v>
      </c>
      <c r="D25" s="24">
        <f>14884895*1.18/1000</f>
        <v>17564.176099999997</v>
      </c>
      <c r="E25" s="24">
        <f>SUM(G25:G25)</f>
        <v>17564.176100000001</v>
      </c>
      <c r="F25" s="25" t="s">
        <v>17</v>
      </c>
      <c r="G25" s="24">
        <f>17564176.1/1000</f>
        <v>17564.176100000001</v>
      </c>
      <c r="H25" s="24">
        <f>SUM(J25:J25)</f>
        <v>0</v>
      </c>
      <c r="I25" s="25" t="s">
        <v>18</v>
      </c>
      <c r="J25" s="26" t="s">
        <v>18</v>
      </c>
    </row>
    <row r="26" spans="1:10" s="6" customFormat="1" ht="45" customHeight="1" x14ac:dyDescent="0.25">
      <c r="A26" s="426" t="s">
        <v>22</v>
      </c>
      <c r="B26" s="438" t="s">
        <v>23</v>
      </c>
      <c r="C26" s="438" t="s">
        <v>24</v>
      </c>
      <c r="D26" s="420">
        <f>1100000/1000</f>
        <v>1100</v>
      </c>
      <c r="E26" s="420">
        <f>SUM(G26:G28)</f>
        <v>1100</v>
      </c>
      <c r="F26" s="16" t="s">
        <v>257</v>
      </c>
      <c r="G26" s="17">
        <v>1100</v>
      </c>
      <c r="H26" s="420">
        <f>J26+J27+J28</f>
        <v>1099.9999883999999</v>
      </c>
      <c r="I26" s="16" t="s">
        <v>25</v>
      </c>
      <c r="J26" s="18">
        <f>351196.6268/1000</f>
        <v>351.19662680000005</v>
      </c>
    </row>
    <row r="27" spans="1:10" s="6" customFormat="1" ht="45" customHeight="1" x14ac:dyDescent="0.25">
      <c r="A27" s="435"/>
      <c r="B27" s="364"/>
      <c r="C27" s="364"/>
      <c r="D27" s="421"/>
      <c r="E27" s="421"/>
      <c r="F27" s="28" t="s">
        <v>251</v>
      </c>
      <c r="G27" s="29" t="s">
        <v>251</v>
      </c>
      <c r="H27" s="421"/>
      <c r="I27" s="28" t="s">
        <v>155</v>
      </c>
      <c r="J27" s="30">
        <v>299.52134699999993</v>
      </c>
    </row>
    <row r="28" spans="1:10" s="6" customFormat="1" ht="28.5" x14ac:dyDescent="0.25">
      <c r="A28" s="435"/>
      <c r="B28" s="364"/>
      <c r="C28" s="364"/>
      <c r="D28" s="421"/>
      <c r="E28" s="421"/>
      <c r="F28" s="28" t="s">
        <v>251</v>
      </c>
      <c r="G28" s="29" t="s">
        <v>251</v>
      </c>
      <c r="H28" s="421"/>
      <c r="I28" s="28" t="s">
        <v>171</v>
      </c>
      <c r="J28" s="30">
        <f>(380747.47/1000)*1.18</f>
        <v>449.28201459999991</v>
      </c>
    </row>
    <row r="29" spans="1:10" s="6" customFormat="1" ht="34.5" customHeight="1" x14ac:dyDescent="0.25">
      <c r="A29" s="435"/>
      <c r="B29" s="364" t="s">
        <v>26</v>
      </c>
      <c r="C29" s="364" t="s">
        <v>27</v>
      </c>
      <c r="D29" s="421">
        <v>2740.83</v>
      </c>
      <c r="E29" s="421">
        <f>SUM(G29:G32)</f>
        <v>2589.3861000000002</v>
      </c>
      <c r="F29" s="28" t="s">
        <v>28</v>
      </c>
      <c r="G29" s="29">
        <f>737212.08/1000</f>
        <v>737.21208000000001</v>
      </c>
      <c r="H29" s="421">
        <f>SUM(J29:J32)</f>
        <v>915.86171999999988</v>
      </c>
      <c r="I29" s="28" t="s">
        <v>29</v>
      </c>
      <c r="J29" s="30">
        <v>253.22681999999998</v>
      </c>
    </row>
    <row r="30" spans="1:10" s="6" customFormat="1" ht="34.5" customHeight="1" x14ac:dyDescent="0.25">
      <c r="A30" s="435"/>
      <c r="B30" s="364"/>
      <c r="C30" s="364"/>
      <c r="D30" s="421"/>
      <c r="E30" s="421"/>
      <c r="F30" s="28" t="s">
        <v>30</v>
      </c>
      <c r="G30" s="29">
        <f>936312.3/1000</f>
        <v>936.31230000000005</v>
      </c>
      <c r="H30" s="421"/>
      <c r="I30" s="28" t="s">
        <v>18</v>
      </c>
      <c r="J30" s="30" t="s">
        <v>18</v>
      </c>
    </row>
    <row r="31" spans="1:10" s="6" customFormat="1" ht="34.5" customHeight="1" x14ac:dyDescent="0.25">
      <c r="A31" s="435"/>
      <c r="B31" s="364"/>
      <c r="C31" s="364"/>
      <c r="D31" s="421"/>
      <c r="E31" s="421"/>
      <c r="F31" s="28" t="s">
        <v>31</v>
      </c>
      <c r="G31" s="29">
        <v>253.22682</v>
      </c>
      <c r="H31" s="421"/>
      <c r="I31" s="28" t="s">
        <v>18</v>
      </c>
      <c r="J31" s="30" t="s">
        <v>18</v>
      </c>
    </row>
    <row r="32" spans="1:10" s="6" customFormat="1" ht="34.5" customHeight="1" x14ac:dyDescent="0.25">
      <c r="A32" s="435"/>
      <c r="B32" s="364"/>
      <c r="C32" s="364"/>
      <c r="D32" s="421"/>
      <c r="E32" s="421"/>
      <c r="F32" s="28" t="s">
        <v>181</v>
      </c>
      <c r="G32" s="29">
        <f>662634.9/1000</f>
        <v>662.63490000000002</v>
      </c>
      <c r="H32" s="421"/>
      <c r="I32" s="28" t="s">
        <v>156</v>
      </c>
      <c r="J32" s="30">
        <v>662.6348999999999</v>
      </c>
    </row>
    <row r="33" spans="1:10" s="6" customFormat="1" ht="42" customHeight="1" x14ac:dyDescent="0.25">
      <c r="A33" s="435"/>
      <c r="B33" s="31" t="s">
        <v>32</v>
      </c>
      <c r="C33" s="31" t="s">
        <v>33</v>
      </c>
      <c r="D33" s="29">
        <f>1652600/1000</f>
        <v>1652.6</v>
      </c>
      <c r="E33" s="29">
        <f t="shared" ref="E33:E39" si="0">G33</f>
        <v>1652.6</v>
      </c>
      <c r="F33" s="28" t="s">
        <v>34</v>
      </c>
      <c r="G33" s="29">
        <f>1652600/1000</f>
        <v>1652.6</v>
      </c>
      <c r="H33" s="29" t="str">
        <f>J33</f>
        <v>__</v>
      </c>
      <c r="I33" s="28" t="s">
        <v>18</v>
      </c>
      <c r="J33" s="30" t="s">
        <v>18</v>
      </c>
    </row>
    <row r="34" spans="1:10" s="6" customFormat="1" ht="42" customHeight="1" x14ac:dyDescent="0.25">
      <c r="A34" s="435"/>
      <c r="B34" s="31" t="s">
        <v>196</v>
      </c>
      <c r="C34" s="31" t="s">
        <v>197</v>
      </c>
      <c r="D34" s="29">
        <v>98</v>
      </c>
      <c r="E34" s="29">
        <f t="shared" si="0"/>
        <v>98</v>
      </c>
      <c r="F34" s="28" t="s">
        <v>204</v>
      </c>
      <c r="G34" s="29">
        <v>98</v>
      </c>
      <c r="H34" s="29">
        <f>J34</f>
        <v>98.000002999999992</v>
      </c>
      <c r="I34" s="28" t="s">
        <v>207</v>
      </c>
      <c r="J34" s="30">
        <v>98.000002999999992</v>
      </c>
    </row>
    <row r="35" spans="1:10" s="6" customFormat="1" ht="42" customHeight="1" x14ac:dyDescent="0.25">
      <c r="A35" s="435"/>
      <c r="B35" s="129" t="s">
        <v>346</v>
      </c>
      <c r="C35" s="129" t="s">
        <v>345</v>
      </c>
      <c r="D35" s="130">
        <f>2392346/1000</f>
        <v>2392.346</v>
      </c>
      <c r="E35" s="131">
        <f t="shared" si="0"/>
        <v>275.19600000000003</v>
      </c>
      <c r="F35" s="132" t="s">
        <v>361</v>
      </c>
      <c r="G35" s="122">
        <f>275196/1000</f>
        <v>275.19600000000003</v>
      </c>
      <c r="H35" s="119"/>
      <c r="I35" s="118"/>
      <c r="J35" s="117"/>
    </row>
    <row r="36" spans="1:10" s="6" customFormat="1" ht="42" customHeight="1" x14ac:dyDescent="0.25">
      <c r="A36" s="435"/>
      <c r="B36" s="446" t="s">
        <v>308</v>
      </c>
      <c r="C36" s="449" t="s">
        <v>404</v>
      </c>
      <c r="D36" s="452">
        <f>4746523.23/1000</f>
        <v>4746.5232300000007</v>
      </c>
      <c r="E36" s="452">
        <f>G36+G37+G38</f>
        <v>2384.3176800000001</v>
      </c>
      <c r="F36" s="132" t="s">
        <v>362</v>
      </c>
      <c r="G36" s="122">
        <f>182291.69/1000</f>
        <v>182.29168999999999</v>
      </c>
      <c r="H36" s="119"/>
      <c r="I36" s="118"/>
      <c r="J36" s="117"/>
    </row>
    <row r="37" spans="1:10" s="6" customFormat="1" ht="42" customHeight="1" x14ac:dyDescent="0.25">
      <c r="A37" s="435"/>
      <c r="B37" s="447"/>
      <c r="C37" s="450"/>
      <c r="D37" s="453"/>
      <c r="E37" s="453"/>
      <c r="F37" s="132" t="s">
        <v>363</v>
      </c>
      <c r="G37" s="122">
        <f>1518055.37/1000</f>
        <v>1518.05537</v>
      </c>
      <c r="H37" s="119"/>
      <c r="I37" s="118"/>
      <c r="J37" s="117"/>
    </row>
    <row r="38" spans="1:10" s="6" customFormat="1" ht="42" customHeight="1" x14ac:dyDescent="0.25">
      <c r="A38" s="435"/>
      <c r="B38" s="448"/>
      <c r="C38" s="451"/>
      <c r="D38" s="454"/>
      <c r="E38" s="454"/>
      <c r="F38" s="132" t="s">
        <v>364</v>
      </c>
      <c r="G38" s="122">
        <f>683970.62/1000</f>
        <v>683.97061999999994</v>
      </c>
      <c r="H38" s="119"/>
      <c r="I38" s="118"/>
      <c r="J38" s="117"/>
    </row>
    <row r="39" spans="1:10" s="6" customFormat="1" ht="42" customHeight="1" x14ac:dyDescent="0.25">
      <c r="A39" s="435"/>
      <c r="B39" s="108" t="s">
        <v>347</v>
      </c>
      <c r="C39" s="186" t="s">
        <v>405</v>
      </c>
      <c r="D39" s="226">
        <v>23.529599999999999</v>
      </c>
      <c r="E39" s="109">
        <f t="shared" si="0"/>
        <v>23.529599999999999</v>
      </c>
      <c r="F39" s="110" t="s">
        <v>348</v>
      </c>
      <c r="G39" s="109">
        <f>23529.6/1000</f>
        <v>23.529599999999999</v>
      </c>
      <c r="H39" s="85"/>
      <c r="I39" s="81"/>
      <c r="J39" s="30"/>
    </row>
    <row r="40" spans="1:10" s="6" customFormat="1" ht="42" customHeight="1" x14ac:dyDescent="0.25">
      <c r="A40" s="435"/>
      <c r="B40" s="483" t="s">
        <v>26</v>
      </c>
      <c r="C40" s="483" t="s">
        <v>349</v>
      </c>
      <c r="D40" s="528">
        <f>16520704.92/1000</f>
        <v>16520.70492</v>
      </c>
      <c r="E40" s="486">
        <f>G41+G42+G40</f>
        <v>3629.6006500000003</v>
      </c>
      <c r="F40" s="159" t="s">
        <v>393</v>
      </c>
      <c r="G40" s="160">
        <f>830955.6/1000</f>
        <v>830.9556</v>
      </c>
      <c r="H40" s="131">
        <f>J40</f>
        <v>830.95559880000008</v>
      </c>
      <c r="I40" s="135" t="s">
        <v>411</v>
      </c>
      <c r="J40" s="199">
        <f>830955.5988/1000</f>
        <v>830.95559880000008</v>
      </c>
    </row>
    <row r="41" spans="1:10" s="6" customFormat="1" ht="42" customHeight="1" x14ac:dyDescent="0.25">
      <c r="A41" s="435"/>
      <c r="B41" s="484"/>
      <c r="C41" s="484"/>
      <c r="D41" s="529"/>
      <c r="E41" s="487"/>
      <c r="F41" s="110" t="s">
        <v>350</v>
      </c>
      <c r="G41" s="109">
        <f>412443.91/1000</f>
        <v>412.44390999999996</v>
      </c>
      <c r="H41" s="153">
        <f>J41</f>
        <v>412.4439132</v>
      </c>
      <c r="I41" s="154" t="s">
        <v>428</v>
      </c>
      <c r="J41" s="253">
        <f>412443.9132/1000</f>
        <v>412.4439132</v>
      </c>
    </row>
    <row r="42" spans="1:10" s="6" customFormat="1" ht="42" customHeight="1" x14ac:dyDescent="0.25">
      <c r="A42" s="435"/>
      <c r="B42" s="485"/>
      <c r="C42" s="485"/>
      <c r="D42" s="530"/>
      <c r="E42" s="488"/>
      <c r="F42" s="110" t="s">
        <v>351</v>
      </c>
      <c r="G42" s="109">
        <f>2386201.14/1000</f>
        <v>2386.2011400000001</v>
      </c>
      <c r="H42" s="153">
        <f>J42</f>
        <v>2386.2011447999998</v>
      </c>
      <c r="I42" s="154" t="s">
        <v>429</v>
      </c>
      <c r="J42" s="253">
        <f>2386201.1448/1000</f>
        <v>2386.2011447999998</v>
      </c>
    </row>
    <row r="43" spans="1:10" s="6" customFormat="1" ht="42" customHeight="1" x14ac:dyDescent="0.25">
      <c r="A43" s="435"/>
      <c r="B43" s="220"/>
      <c r="C43" s="220"/>
      <c r="D43" s="213"/>
      <c r="E43" s="222"/>
      <c r="F43" s="233"/>
      <c r="G43" s="232"/>
      <c r="H43" s="215">
        <f>J43</f>
        <v>2301.142957</v>
      </c>
      <c r="I43" s="261" t="s">
        <v>473</v>
      </c>
      <c r="J43" s="273">
        <f>2301142.957/1000</f>
        <v>2301.142957</v>
      </c>
    </row>
    <row r="44" spans="1:10" s="6" customFormat="1" ht="42" customHeight="1" x14ac:dyDescent="0.25">
      <c r="A44" s="435"/>
      <c r="B44" s="220"/>
      <c r="C44" s="220"/>
      <c r="D44" s="213"/>
      <c r="E44" s="222"/>
      <c r="F44" s="233"/>
      <c r="G44" s="232"/>
      <c r="H44" s="228"/>
      <c r="I44" s="214"/>
      <c r="J44" s="247"/>
    </row>
    <row r="45" spans="1:10" s="6" customFormat="1" ht="42" customHeight="1" x14ac:dyDescent="0.25">
      <c r="A45" s="435"/>
      <c r="B45" s="220"/>
      <c r="C45" s="220"/>
      <c r="D45" s="213"/>
      <c r="E45" s="222"/>
      <c r="F45" s="233"/>
      <c r="G45" s="232"/>
      <c r="H45" s="228"/>
      <c r="I45" s="214"/>
      <c r="J45" s="247"/>
    </row>
    <row r="46" spans="1:10" s="1" customFormat="1" ht="42" customHeight="1" x14ac:dyDescent="0.25">
      <c r="A46" s="435"/>
      <c r="B46" s="220"/>
      <c r="C46" s="220"/>
      <c r="D46" s="213"/>
      <c r="E46" s="222"/>
      <c r="F46" s="233"/>
      <c r="G46" s="232"/>
      <c r="H46" s="228"/>
      <c r="I46" s="214"/>
      <c r="J46" s="247"/>
    </row>
    <row r="47" spans="1:10" s="6" customFormat="1" ht="38.25" customHeight="1" x14ac:dyDescent="0.25">
      <c r="A47" s="435"/>
      <c r="B47" s="364" t="s">
        <v>35</v>
      </c>
      <c r="C47" s="364"/>
      <c r="D47" s="29" t="s">
        <v>18</v>
      </c>
      <c r="E47" s="29" t="str">
        <f t="shared" ref="E47:E51" si="1">G47</f>
        <v>__</v>
      </c>
      <c r="F47" s="28" t="s">
        <v>18</v>
      </c>
      <c r="G47" s="29" t="s">
        <v>18</v>
      </c>
      <c r="H47" s="29">
        <f t="shared" ref="H47:H52" si="2">J47</f>
        <v>66.934614999999994</v>
      </c>
      <c r="I47" s="28" t="s">
        <v>18</v>
      </c>
      <c r="J47" s="30">
        <v>66.934614999999994</v>
      </c>
    </row>
    <row r="48" spans="1:10" s="6" customFormat="1" ht="38.25" customHeight="1" x14ac:dyDescent="0.25">
      <c r="A48" s="434"/>
      <c r="B48" s="364" t="s">
        <v>383</v>
      </c>
      <c r="C48" s="364"/>
      <c r="D48" s="173" t="s">
        <v>18</v>
      </c>
      <c r="E48" s="173" t="str">
        <f t="shared" ref="E48:E49" si="3">G48</f>
        <v>__</v>
      </c>
      <c r="F48" s="178" t="s">
        <v>18</v>
      </c>
      <c r="G48" s="173" t="s">
        <v>18</v>
      </c>
      <c r="H48" s="131">
        <f t="shared" si="2"/>
        <v>438.09044620000003</v>
      </c>
      <c r="I48" s="214" t="s">
        <v>18</v>
      </c>
      <c r="J48" s="131">
        <f>438090.4462/1000</f>
        <v>438.09044620000003</v>
      </c>
    </row>
    <row r="49" spans="1:10" s="6" customFormat="1" ht="38.25" customHeight="1" x14ac:dyDescent="0.25">
      <c r="A49" s="434"/>
      <c r="B49" s="364" t="s">
        <v>394</v>
      </c>
      <c r="C49" s="364"/>
      <c r="D49" s="173" t="s">
        <v>18</v>
      </c>
      <c r="E49" s="173" t="str">
        <f t="shared" si="3"/>
        <v>__</v>
      </c>
      <c r="F49" s="178" t="s">
        <v>18</v>
      </c>
      <c r="G49" s="173" t="s">
        <v>18</v>
      </c>
      <c r="H49" s="153">
        <f t="shared" si="2"/>
        <v>1864.7448196</v>
      </c>
      <c r="I49" s="214" t="s">
        <v>18</v>
      </c>
      <c r="J49" s="164">
        <f>1864744.8196/1000</f>
        <v>1864.7448196</v>
      </c>
    </row>
    <row r="50" spans="1:10" s="6" customFormat="1" ht="38.25" customHeight="1" x14ac:dyDescent="0.25">
      <c r="A50" s="434"/>
      <c r="B50" s="364" t="s">
        <v>439</v>
      </c>
      <c r="C50" s="364"/>
      <c r="D50" s="228" t="s">
        <v>18</v>
      </c>
      <c r="E50" s="228" t="str">
        <f t="shared" ref="E50" si="4">G50</f>
        <v>__</v>
      </c>
      <c r="F50" s="214" t="s">
        <v>18</v>
      </c>
      <c r="G50" s="228" t="s">
        <v>18</v>
      </c>
      <c r="H50" s="226">
        <f t="shared" si="2"/>
        <v>615.45611640000004</v>
      </c>
      <c r="I50" s="214" t="s">
        <v>18</v>
      </c>
      <c r="J50" s="258">
        <f>615456.1164/1000</f>
        <v>615.45611640000004</v>
      </c>
    </row>
    <row r="51" spans="1:10" s="6" customFormat="1" ht="38.25" customHeight="1" thickBot="1" x14ac:dyDescent="0.3">
      <c r="A51" s="427"/>
      <c r="B51" s="32" t="s">
        <v>232</v>
      </c>
      <c r="C51" s="32" t="s">
        <v>233</v>
      </c>
      <c r="D51" s="20"/>
      <c r="E51" s="20">
        <f t="shared" si="1"/>
        <v>1152.7524076</v>
      </c>
      <c r="F51" s="19" t="s">
        <v>297</v>
      </c>
      <c r="G51" s="20">
        <v>1152.7524076</v>
      </c>
      <c r="H51" s="115">
        <f t="shared" si="2"/>
        <v>15.952266600000002</v>
      </c>
      <c r="I51" s="260" t="s">
        <v>440</v>
      </c>
      <c r="J51" s="259">
        <f>13518.87*1.18/1000</f>
        <v>15.952266600000002</v>
      </c>
    </row>
    <row r="52" spans="1:10" s="6" customFormat="1" ht="38.25" customHeight="1" thickBot="1" x14ac:dyDescent="0.3">
      <c r="A52" s="379" t="s">
        <v>355</v>
      </c>
      <c r="B52" s="123" t="s">
        <v>15</v>
      </c>
      <c r="C52" s="124" t="s">
        <v>353</v>
      </c>
      <c r="D52" s="125">
        <f>2088887.92/1000</f>
        <v>2088.8879200000001</v>
      </c>
      <c r="E52" s="125">
        <f>G52</f>
        <v>307.244821</v>
      </c>
      <c r="F52" s="126" t="s">
        <v>354</v>
      </c>
      <c r="G52" s="125">
        <f>307244.821/1000</f>
        <v>307.244821</v>
      </c>
      <c r="H52" s="195">
        <f t="shared" si="2"/>
        <v>680.13358019999998</v>
      </c>
      <c r="I52" s="196" t="s">
        <v>409</v>
      </c>
      <c r="J52" s="197">
        <f>680133.5802/1000</f>
        <v>680.13358019999998</v>
      </c>
    </row>
    <row r="53" spans="1:10" s="6" customFormat="1" ht="38.25" customHeight="1" thickBot="1" x14ac:dyDescent="0.3">
      <c r="A53" s="370"/>
      <c r="B53" s="96"/>
      <c r="C53" s="96"/>
      <c r="D53" s="37"/>
      <c r="E53" s="37"/>
      <c r="F53" s="127"/>
      <c r="G53" s="37"/>
      <c r="H53" s="37"/>
      <c r="I53" s="127"/>
      <c r="J53" s="128"/>
    </row>
    <row r="54" spans="1:10" s="6" customFormat="1" ht="57.75" customHeight="1" thickBot="1" x14ac:dyDescent="0.3">
      <c r="A54" s="379" t="s">
        <v>163</v>
      </c>
      <c r="B54" s="23" t="s">
        <v>164</v>
      </c>
      <c r="C54" s="23"/>
      <c r="D54" s="24">
        <f>70000/1000</f>
        <v>70</v>
      </c>
      <c r="E54" s="24">
        <f>G54</f>
        <v>70</v>
      </c>
      <c r="F54" s="25" t="s">
        <v>205</v>
      </c>
      <c r="G54" s="24">
        <v>70</v>
      </c>
      <c r="H54" s="24">
        <f>J54</f>
        <v>70</v>
      </c>
      <c r="I54" s="25" t="s">
        <v>174</v>
      </c>
      <c r="J54" s="26">
        <f>70000/1000</f>
        <v>70</v>
      </c>
    </row>
    <row r="55" spans="1:10" s="6" customFormat="1" ht="37.5" customHeight="1" thickBot="1" x14ac:dyDescent="0.3">
      <c r="A55" s="370"/>
      <c r="B55" s="123" t="s">
        <v>15</v>
      </c>
      <c r="C55" s="124" t="s">
        <v>353</v>
      </c>
      <c r="D55" s="125">
        <f>2088887.92/1000</f>
        <v>2088.8879200000001</v>
      </c>
      <c r="E55" s="125">
        <f>G55</f>
        <v>352.56966299999999</v>
      </c>
      <c r="F55" s="126" t="s">
        <v>354</v>
      </c>
      <c r="G55" s="125">
        <f>352569.663/1000</f>
        <v>352.56966299999999</v>
      </c>
      <c r="H55" s="193">
        <f>J55</f>
        <v>352.56966299999999</v>
      </c>
      <c r="I55" s="198" t="s">
        <v>409</v>
      </c>
      <c r="J55" s="194">
        <f>352569.663/1000</f>
        <v>352.56966299999999</v>
      </c>
    </row>
    <row r="56" spans="1:10" s="6" customFormat="1" ht="57.75" thickBot="1" x14ac:dyDescent="0.3">
      <c r="A56" s="33" t="s">
        <v>356</v>
      </c>
      <c r="B56" s="123" t="s">
        <v>15</v>
      </c>
      <c r="C56" s="124" t="s">
        <v>353</v>
      </c>
      <c r="D56" s="125">
        <f>2088887.92/1000</f>
        <v>2088.8879200000001</v>
      </c>
      <c r="E56" s="125">
        <f>G56</f>
        <v>530.25165579999998</v>
      </c>
      <c r="F56" s="126" t="s">
        <v>354</v>
      </c>
      <c r="G56" s="125">
        <f>530251.6558/1000</f>
        <v>530.25165579999998</v>
      </c>
      <c r="H56" s="193">
        <f>J56</f>
        <v>530.25165579999998</v>
      </c>
      <c r="I56" s="198" t="s">
        <v>409</v>
      </c>
      <c r="J56" s="194">
        <f>530251.6558/1000</f>
        <v>530.25165579999998</v>
      </c>
    </row>
    <row r="57" spans="1:10" s="6" customFormat="1" ht="57.75" thickBot="1" x14ac:dyDescent="0.3">
      <c r="A57" s="33" t="s">
        <v>357</v>
      </c>
      <c r="B57" s="123" t="s">
        <v>15</v>
      </c>
      <c r="C57" s="124" t="s">
        <v>353</v>
      </c>
      <c r="D57" s="125">
        <f>2088887.92/1000</f>
        <v>2088.8879200000001</v>
      </c>
      <c r="E57" s="125">
        <f>G57</f>
        <v>523.25966019999998</v>
      </c>
      <c r="F57" s="126" t="s">
        <v>354</v>
      </c>
      <c r="G57" s="125">
        <f>523259.6602/1000</f>
        <v>523.25966019999998</v>
      </c>
      <c r="H57" s="193">
        <f>J57</f>
        <v>523.25966019999998</v>
      </c>
      <c r="I57" s="198" t="s">
        <v>409</v>
      </c>
      <c r="J57" s="194">
        <f>523259.6602/1000</f>
        <v>523.25966019999998</v>
      </c>
    </row>
    <row r="58" spans="1:10" s="6" customFormat="1" ht="15.75" thickBot="1" x14ac:dyDescent="0.3">
      <c r="A58" s="33"/>
      <c r="B58" s="23"/>
      <c r="C58" s="23"/>
      <c r="D58" s="24"/>
      <c r="E58" s="24"/>
      <c r="F58" s="25"/>
      <c r="G58" s="24"/>
      <c r="H58" s="24"/>
      <c r="I58" s="25"/>
      <c r="J58" s="26"/>
    </row>
    <row r="59" spans="1:10" s="6" customFormat="1" ht="15.75" thickBot="1" x14ac:dyDescent="0.3">
      <c r="A59" s="33"/>
      <c r="B59" s="23"/>
      <c r="C59" s="23"/>
      <c r="D59" s="24"/>
      <c r="E59" s="24"/>
      <c r="F59" s="25"/>
      <c r="G59" s="24"/>
      <c r="H59" s="24"/>
      <c r="I59" s="25"/>
      <c r="J59" s="26"/>
    </row>
    <row r="60" spans="1:10" s="6" customFormat="1" ht="72" thickBot="1" x14ac:dyDescent="0.3">
      <c r="A60" s="33" t="s">
        <v>212</v>
      </c>
      <c r="B60" s="23" t="s">
        <v>213</v>
      </c>
      <c r="C60" s="23" t="s">
        <v>214</v>
      </c>
      <c r="D60" s="24">
        <f>768312/1000</f>
        <v>768.31200000000001</v>
      </c>
      <c r="E60" s="24">
        <f>G60</f>
        <v>768.31200000000001</v>
      </c>
      <c r="F60" s="25" t="s">
        <v>258</v>
      </c>
      <c r="G60" s="24">
        <v>768.31200000000001</v>
      </c>
      <c r="H60" s="24">
        <f>J60</f>
        <v>768.31199479999998</v>
      </c>
      <c r="I60" s="25" t="s">
        <v>256</v>
      </c>
      <c r="J60" s="26">
        <v>768.31199479999998</v>
      </c>
    </row>
    <row r="61" spans="1:10" s="6" customFormat="1" ht="15.75" thickBot="1" x14ac:dyDescent="0.3">
      <c r="A61" s="34" t="s">
        <v>36</v>
      </c>
      <c r="B61" s="35"/>
      <c r="C61" s="35"/>
      <c r="D61" s="35"/>
      <c r="E61" s="36">
        <f>SUM(E9:E60)</f>
        <v>73696.561493000001</v>
      </c>
      <c r="F61" s="36"/>
      <c r="G61" s="36">
        <f>SUM(G9:G60)</f>
        <v>73696.561492999987</v>
      </c>
      <c r="H61" s="36">
        <f>SUM(H9:H60)</f>
        <v>16837.590620799998</v>
      </c>
      <c r="I61" s="36"/>
      <c r="J61" s="38">
        <f>SUM(J20:J60)</f>
        <v>15420.197453799999</v>
      </c>
    </row>
    <row r="62" spans="1:10" s="6" customFormat="1" ht="39" customHeight="1" thickBot="1" x14ac:dyDescent="0.3">
      <c r="A62" s="39" t="s">
        <v>37</v>
      </c>
      <c r="B62" s="40"/>
      <c r="C62" s="40"/>
      <c r="D62" s="40"/>
      <c r="E62" s="41">
        <f>G62</f>
        <v>1654.3222867540742</v>
      </c>
      <c r="F62" s="24"/>
      <c r="G62" s="41">
        <v>1654.3222867540742</v>
      </c>
      <c r="H62" s="41">
        <f>J62</f>
        <v>1654.3222867540742</v>
      </c>
      <c r="I62" s="24"/>
      <c r="J62" s="42">
        <v>1654.3222867540742</v>
      </c>
    </row>
    <row r="63" spans="1:10" s="6" customFormat="1" ht="30.75" thickBot="1" x14ac:dyDescent="0.3">
      <c r="A63" s="39" t="s">
        <v>38</v>
      </c>
      <c r="B63" s="40"/>
      <c r="C63" s="40"/>
      <c r="D63" s="40"/>
      <c r="E63" s="41">
        <f>E61+E62</f>
        <v>75350.883779754076</v>
      </c>
      <c r="F63" s="24"/>
      <c r="G63" s="41">
        <f>G61+G62</f>
        <v>75350.883779754062</v>
      </c>
      <c r="H63" s="41">
        <f>H61+H62</f>
        <v>18491.912907554073</v>
      </c>
      <c r="I63" s="24"/>
      <c r="J63" s="42">
        <f>J61+J62</f>
        <v>17074.519740554075</v>
      </c>
    </row>
    <row r="64" spans="1:10" s="6" customFormat="1" ht="16.5" customHeight="1" x14ac:dyDescent="0.25">
      <c r="A64" s="525" t="s">
        <v>39</v>
      </c>
      <c r="B64" s="526"/>
      <c r="C64" s="526"/>
      <c r="D64" s="526"/>
      <c r="E64" s="526"/>
      <c r="F64" s="526"/>
      <c r="G64" s="526"/>
      <c r="H64" s="526"/>
      <c r="I64" s="526"/>
      <c r="J64" s="527"/>
    </row>
    <row r="65" spans="1:10" s="6" customFormat="1" ht="42.75" customHeight="1" x14ac:dyDescent="0.25">
      <c r="A65" s="364" t="s">
        <v>40</v>
      </c>
      <c r="B65" s="364" t="s">
        <v>41</v>
      </c>
      <c r="C65" s="364" t="s">
        <v>42</v>
      </c>
      <c r="D65" s="364">
        <v>82000</v>
      </c>
      <c r="E65" s="421">
        <f>SUM(G65:G86)</f>
        <v>36246.020738599997</v>
      </c>
      <c r="F65" s="178" t="s">
        <v>43</v>
      </c>
      <c r="G65" s="173">
        <v>130.99584999999999</v>
      </c>
      <c r="H65" s="421">
        <f>SUM(J65:J79)</f>
        <v>32831.120364800001</v>
      </c>
      <c r="I65" s="178" t="s">
        <v>44</v>
      </c>
      <c r="J65" s="173">
        <f>130995.8474/1000</f>
        <v>130.9958474</v>
      </c>
    </row>
    <row r="66" spans="1:10" s="6" customFormat="1" ht="28.5" x14ac:dyDescent="0.25">
      <c r="A66" s="364"/>
      <c r="B66" s="364"/>
      <c r="C66" s="364"/>
      <c r="D66" s="364"/>
      <c r="E66" s="364"/>
      <c r="F66" s="178" t="s">
        <v>45</v>
      </c>
      <c r="G66" s="173">
        <v>651.55920000000003</v>
      </c>
      <c r="H66" s="421"/>
      <c r="I66" s="178" t="s">
        <v>46</v>
      </c>
      <c r="J66" s="173">
        <f>30576.14*1.18/1000</f>
        <v>36.079845199999994</v>
      </c>
    </row>
    <row r="67" spans="1:10" s="6" customFormat="1" ht="28.5" x14ac:dyDescent="0.25">
      <c r="A67" s="364"/>
      <c r="B67" s="364"/>
      <c r="C67" s="364"/>
      <c r="D67" s="364"/>
      <c r="E67" s="364"/>
      <c r="F67" s="178" t="s">
        <v>47</v>
      </c>
      <c r="G67" s="173">
        <v>36.07985</v>
      </c>
      <c r="H67" s="421"/>
      <c r="I67" s="178" t="s">
        <v>48</v>
      </c>
      <c r="J67" s="173">
        <f>552168.81*1.18/1000</f>
        <v>651.5591958</v>
      </c>
    </row>
    <row r="68" spans="1:10" s="6" customFormat="1" ht="28.5" x14ac:dyDescent="0.25">
      <c r="A68" s="364"/>
      <c r="B68" s="364"/>
      <c r="C68" s="364"/>
      <c r="D68" s="364"/>
      <c r="E68" s="364"/>
      <c r="F68" s="178" t="s">
        <v>18</v>
      </c>
      <c r="G68" s="173" t="s">
        <v>18</v>
      </c>
      <c r="H68" s="421"/>
      <c r="I68" s="178" t="s">
        <v>49</v>
      </c>
      <c r="J68" s="173">
        <v>505.16762879999999</v>
      </c>
    </row>
    <row r="69" spans="1:10" s="6" customFormat="1" ht="28.5" x14ac:dyDescent="0.25">
      <c r="A69" s="364"/>
      <c r="B69" s="364"/>
      <c r="C69" s="364"/>
      <c r="D69" s="364"/>
      <c r="E69" s="364"/>
      <c r="F69" s="178" t="s">
        <v>18</v>
      </c>
      <c r="G69" s="173" t="s">
        <v>18</v>
      </c>
      <c r="H69" s="421"/>
      <c r="I69" s="178" t="s">
        <v>50</v>
      </c>
      <c r="J69" s="173">
        <v>1041.8767402000001</v>
      </c>
    </row>
    <row r="70" spans="1:10" s="6" customFormat="1" ht="28.5" x14ac:dyDescent="0.25">
      <c r="A70" s="364"/>
      <c r="B70" s="364"/>
      <c r="C70" s="364"/>
      <c r="D70" s="364"/>
      <c r="E70" s="364"/>
      <c r="F70" s="178" t="s">
        <v>179</v>
      </c>
      <c r="G70" s="173">
        <f>505167.63/1000</f>
        <v>505.16763000000003</v>
      </c>
      <c r="H70" s="421"/>
      <c r="I70" s="178" t="s">
        <v>154</v>
      </c>
      <c r="J70" s="173">
        <v>3587.7674383999997</v>
      </c>
    </row>
    <row r="71" spans="1:10" s="6" customFormat="1" ht="28.5" x14ac:dyDescent="0.25">
      <c r="A71" s="364"/>
      <c r="B71" s="364"/>
      <c r="C71" s="364"/>
      <c r="D71" s="364"/>
      <c r="E71" s="364"/>
      <c r="F71" s="178" t="s">
        <v>180</v>
      </c>
      <c r="G71" s="173">
        <f>1041876.74/1000</f>
        <v>1041.8767399999999</v>
      </c>
      <c r="H71" s="421"/>
      <c r="I71" s="178" t="s">
        <v>153</v>
      </c>
      <c r="J71" s="173">
        <v>676.7155095999999</v>
      </c>
    </row>
    <row r="72" spans="1:10" s="6" customFormat="1" ht="28.5" x14ac:dyDescent="0.25">
      <c r="A72" s="364"/>
      <c r="B72" s="364"/>
      <c r="C72" s="364"/>
      <c r="D72" s="364"/>
      <c r="E72" s="364"/>
      <c r="F72" s="178" t="s">
        <v>184</v>
      </c>
      <c r="G72" s="173">
        <f>3587767.44/1000</f>
        <v>3587.7674400000001</v>
      </c>
      <c r="H72" s="421"/>
      <c r="I72" s="178" t="s">
        <v>173</v>
      </c>
      <c r="J72" s="173">
        <v>1793.9132191999997</v>
      </c>
    </row>
    <row r="73" spans="1:10" s="6" customFormat="1" ht="28.5" x14ac:dyDescent="0.25">
      <c r="A73" s="364"/>
      <c r="B73" s="364"/>
      <c r="C73" s="364"/>
      <c r="D73" s="364"/>
      <c r="E73" s="364"/>
      <c r="F73" s="178" t="s">
        <v>183</v>
      </c>
      <c r="G73" s="173">
        <f>676715.51/1000</f>
        <v>676.71550999999999</v>
      </c>
      <c r="H73" s="421"/>
      <c r="I73" s="178" t="s">
        <v>209</v>
      </c>
      <c r="J73" s="173">
        <v>2883.876045</v>
      </c>
    </row>
    <row r="74" spans="1:10" s="6" customFormat="1" ht="28.5" x14ac:dyDescent="0.25">
      <c r="A74" s="364"/>
      <c r="B74" s="364"/>
      <c r="C74" s="364"/>
      <c r="D74" s="364"/>
      <c r="E74" s="364"/>
      <c r="F74" s="178" t="s">
        <v>201</v>
      </c>
      <c r="G74" s="173">
        <v>1793.9132199999999</v>
      </c>
      <c r="H74" s="421"/>
      <c r="I74" s="178" t="s">
        <v>239</v>
      </c>
      <c r="J74" s="173">
        <v>2620.1652435999995</v>
      </c>
    </row>
    <row r="75" spans="1:10" s="6" customFormat="1" ht="42.75" customHeight="1" x14ac:dyDescent="0.25">
      <c r="A75" s="364"/>
      <c r="B75" s="364"/>
      <c r="C75" s="364"/>
      <c r="D75" s="364"/>
      <c r="E75" s="364"/>
      <c r="F75" s="178" t="s">
        <v>202</v>
      </c>
      <c r="G75" s="173">
        <v>156.38051000000002</v>
      </c>
      <c r="H75" s="421"/>
      <c r="I75" s="178" t="s">
        <v>241</v>
      </c>
      <c r="J75" s="173">
        <v>13052.014514999999</v>
      </c>
    </row>
    <row r="76" spans="1:10" s="6" customFormat="1" ht="28.5" x14ac:dyDescent="0.25">
      <c r="A76" s="364"/>
      <c r="B76" s="364"/>
      <c r="C76" s="364"/>
      <c r="D76" s="364"/>
      <c r="E76" s="364"/>
      <c r="F76" s="178" t="s">
        <v>203</v>
      </c>
      <c r="G76" s="173">
        <v>24.634679999999999</v>
      </c>
      <c r="H76" s="421"/>
      <c r="I76" s="178" t="s">
        <v>247</v>
      </c>
      <c r="J76" s="173">
        <v>1395.4322106</v>
      </c>
    </row>
    <row r="77" spans="1:10" s="6" customFormat="1" ht="28.5" x14ac:dyDescent="0.25">
      <c r="A77" s="364"/>
      <c r="B77" s="364"/>
      <c r="C77" s="364"/>
      <c r="D77" s="364"/>
      <c r="E77" s="364"/>
      <c r="F77" s="178" t="s">
        <v>259</v>
      </c>
      <c r="G77" s="173">
        <v>2883.876045</v>
      </c>
      <c r="H77" s="421"/>
      <c r="I77" s="178" t="s">
        <v>243</v>
      </c>
      <c r="J77" s="173">
        <v>455.98365940000002</v>
      </c>
    </row>
    <row r="78" spans="1:10" s="6" customFormat="1" ht="28.5" x14ac:dyDescent="0.25">
      <c r="A78" s="364"/>
      <c r="B78" s="364"/>
      <c r="C78" s="364"/>
      <c r="D78" s="364"/>
      <c r="E78" s="364"/>
      <c r="F78" s="178" t="s">
        <v>261</v>
      </c>
      <c r="G78" s="173">
        <v>2620.1652435999995</v>
      </c>
      <c r="H78" s="421"/>
      <c r="I78" s="178" t="s">
        <v>246</v>
      </c>
      <c r="J78" s="173">
        <v>34.634238999999994</v>
      </c>
    </row>
    <row r="79" spans="1:10" s="6" customFormat="1" ht="28.5" x14ac:dyDescent="0.25">
      <c r="A79" s="364"/>
      <c r="B79" s="364"/>
      <c r="C79" s="364"/>
      <c r="D79" s="364"/>
      <c r="E79" s="364"/>
      <c r="F79" s="178" t="s">
        <v>262</v>
      </c>
      <c r="G79" s="173">
        <v>34.084499999999998</v>
      </c>
      <c r="H79" s="421"/>
      <c r="I79" s="178" t="s">
        <v>295</v>
      </c>
      <c r="J79" s="173">
        <v>3964.9390275999995</v>
      </c>
    </row>
    <row r="80" spans="1:10" s="6" customFormat="1" ht="37.9" customHeight="1" x14ac:dyDescent="0.25">
      <c r="A80" s="364"/>
      <c r="B80" s="174"/>
      <c r="C80" s="174"/>
      <c r="D80" s="174"/>
      <c r="E80" s="174"/>
      <c r="F80" s="135" t="s">
        <v>365</v>
      </c>
      <c r="G80" s="131">
        <f>34634.24/1000</f>
        <v>34.634239999999998</v>
      </c>
      <c r="H80" s="173"/>
      <c r="I80" s="178"/>
      <c r="J80" s="173"/>
    </row>
    <row r="81" spans="1:10" s="6" customFormat="1" ht="28.5" x14ac:dyDescent="0.25">
      <c r="A81" s="364"/>
      <c r="B81" s="174"/>
      <c r="C81" s="174"/>
      <c r="D81" s="174"/>
      <c r="E81" s="174"/>
      <c r="F81" s="135" t="s">
        <v>366</v>
      </c>
      <c r="G81" s="131">
        <f>13052014.52/1000</f>
        <v>13052.014519999999</v>
      </c>
      <c r="H81" s="173"/>
      <c r="I81" s="178"/>
      <c r="J81" s="173"/>
    </row>
    <row r="82" spans="1:10" s="6" customFormat="1" ht="28.5" x14ac:dyDescent="0.25">
      <c r="A82" s="364"/>
      <c r="B82" s="174"/>
      <c r="C82" s="174"/>
      <c r="D82" s="174"/>
      <c r="E82" s="174"/>
      <c r="F82" s="135" t="s">
        <v>367</v>
      </c>
      <c r="G82" s="131">
        <f>1395432.21/1000</f>
        <v>1395.4322099999999</v>
      </c>
      <c r="H82" s="173"/>
      <c r="I82" s="178"/>
      <c r="J82" s="173"/>
    </row>
    <row r="83" spans="1:10" s="6" customFormat="1" ht="28.5" x14ac:dyDescent="0.25">
      <c r="A83" s="364"/>
      <c r="B83" s="174"/>
      <c r="C83" s="174"/>
      <c r="D83" s="174"/>
      <c r="E83" s="174"/>
      <c r="F83" s="135" t="s">
        <v>368</v>
      </c>
      <c r="G83" s="131">
        <f>455983.66/1000</f>
        <v>455.98365999999999</v>
      </c>
      <c r="H83" s="173"/>
      <c r="I83" s="178"/>
      <c r="J83" s="173"/>
    </row>
    <row r="84" spans="1:10" s="6" customFormat="1" ht="28.5" x14ac:dyDescent="0.25">
      <c r="A84" s="364"/>
      <c r="B84" s="174"/>
      <c r="C84" s="174"/>
      <c r="D84" s="174"/>
      <c r="E84" s="174"/>
      <c r="F84" s="135" t="s">
        <v>369</v>
      </c>
      <c r="G84" s="131">
        <f>1482512.18/1000</f>
        <v>1482.5121799999999</v>
      </c>
      <c r="H84" s="173"/>
      <c r="I84" s="178"/>
      <c r="J84" s="173"/>
    </row>
    <row r="85" spans="1:10" s="6" customFormat="1" ht="28.5" x14ac:dyDescent="0.25">
      <c r="A85" s="364"/>
      <c r="B85" s="174"/>
      <c r="C85" s="174"/>
      <c r="D85" s="174"/>
      <c r="E85" s="174"/>
      <c r="F85" s="135" t="s">
        <v>370</v>
      </c>
      <c r="G85" s="131">
        <f>1717288.48/1000</f>
        <v>1717.2884799999999</v>
      </c>
      <c r="H85" s="173"/>
      <c r="I85" s="178"/>
      <c r="J85" s="173"/>
    </row>
    <row r="86" spans="1:10" s="6" customFormat="1" ht="28.5" x14ac:dyDescent="0.25">
      <c r="A86" s="364"/>
      <c r="B86" s="174"/>
      <c r="C86" s="174"/>
      <c r="D86" s="174"/>
      <c r="E86" s="174"/>
      <c r="F86" s="135" t="s">
        <v>371</v>
      </c>
      <c r="G86" s="131">
        <f>3964939.03/1000</f>
        <v>3964.93903</v>
      </c>
      <c r="H86" s="173"/>
      <c r="I86" s="178"/>
      <c r="J86" s="173"/>
    </row>
    <row r="87" spans="1:10" s="6" customFormat="1" x14ac:dyDescent="0.25">
      <c r="A87" s="364"/>
      <c r="B87" s="364" t="s">
        <v>252</v>
      </c>
      <c r="C87" s="364"/>
      <c r="D87" s="173"/>
      <c r="E87" s="173"/>
      <c r="F87" s="178"/>
      <c r="G87" s="173"/>
      <c r="H87" s="173">
        <f>J87</f>
        <v>3482.1039372</v>
      </c>
      <c r="I87" s="178"/>
      <c r="J87" s="173">
        <v>3482.1039372</v>
      </c>
    </row>
    <row r="88" spans="1:10" s="6" customFormat="1" x14ac:dyDescent="0.25">
      <c r="A88" s="174"/>
      <c r="B88" s="174"/>
      <c r="C88" s="174"/>
      <c r="D88" s="173"/>
      <c r="E88" s="173"/>
      <c r="F88" s="178"/>
      <c r="G88" s="173"/>
      <c r="H88" s="173"/>
      <c r="I88" s="178"/>
      <c r="J88" s="173"/>
    </row>
    <row r="89" spans="1:10" s="6" customFormat="1" ht="71.25" customHeight="1" x14ac:dyDescent="0.25">
      <c r="A89" s="267" t="s">
        <v>40</v>
      </c>
      <c r="B89" s="424" t="s">
        <v>41</v>
      </c>
      <c r="C89" s="424" t="s">
        <v>51</v>
      </c>
      <c r="D89" s="424">
        <f>7700000/1000</f>
        <v>7700</v>
      </c>
      <c r="E89" s="424">
        <f>SUM(G89:G97)</f>
        <v>2539.5856964</v>
      </c>
      <c r="F89" s="178" t="s">
        <v>52</v>
      </c>
      <c r="G89" s="173">
        <f>513728.95/1000</f>
        <v>513.72895000000005</v>
      </c>
      <c r="H89" s="424">
        <f>SUM(J89:J97)</f>
        <v>2726.3216898000001</v>
      </c>
      <c r="I89" s="178" t="s">
        <v>53</v>
      </c>
      <c r="J89" s="173">
        <f>4024.8148/1000</f>
        <v>4.0248147999999997</v>
      </c>
    </row>
    <row r="90" spans="1:10" s="6" customFormat="1" ht="28.5" x14ac:dyDescent="0.25">
      <c r="A90" s="268"/>
      <c r="B90" s="416"/>
      <c r="C90" s="416"/>
      <c r="D90" s="416"/>
      <c r="E90" s="416"/>
      <c r="F90" s="178" t="s">
        <v>54</v>
      </c>
      <c r="G90" s="173">
        <f>100040.74/1000</f>
        <v>100.04074</v>
      </c>
      <c r="H90" s="416"/>
      <c r="I90" s="178" t="s">
        <v>159</v>
      </c>
      <c r="J90" s="173">
        <v>341.8673344</v>
      </c>
    </row>
    <row r="91" spans="1:10" s="6" customFormat="1" ht="28.5" x14ac:dyDescent="0.25">
      <c r="A91" s="268"/>
      <c r="B91" s="416"/>
      <c r="C91" s="416"/>
      <c r="D91" s="416"/>
      <c r="E91" s="416"/>
      <c r="F91" s="178" t="s">
        <v>55</v>
      </c>
      <c r="G91" s="173">
        <f>73031.03/1000</f>
        <v>73.031030000000001</v>
      </c>
      <c r="H91" s="416"/>
      <c r="I91" s="178" t="s">
        <v>172</v>
      </c>
      <c r="J91" s="173">
        <f>(128971.48/1000)*1.18</f>
        <v>152.18634639999996</v>
      </c>
    </row>
    <row r="92" spans="1:10" s="6" customFormat="1" ht="28.5" x14ac:dyDescent="0.25">
      <c r="A92" s="268"/>
      <c r="B92" s="416"/>
      <c r="C92" s="416"/>
      <c r="D92" s="416"/>
      <c r="E92" s="416"/>
      <c r="F92" s="178" t="s">
        <v>56</v>
      </c>
      <c r="G92" s="173">
        <f>122959.86/1000</f>
        <v>122.95986000000001</v>
      </c>
      <c r="H92" s="416"/>
      <c r="I92" s="178" t="s">
        <v>242</v>
      </c>
      <c r="J92" s="178">
        <v>1717.2884796000001</v>
      </c>
    </row>
    <row r="93" spans="1:10" s="6" customFormat="1" ht="28.5" x14ac:dyDescent="0.25">
      <c r="A93" s="268"/>
      <c r="B93" s="416"/>
      <c r="C93" s="416"/>
      <c r="D93" s="416"/>
      <c r="E93" s="416"/>
      <c r="F93" s="178" t="s">
        <v>57</v>
      </c>
      <c r="G93" s="173">
        <f>819718.69/1000</f>
        <v>819.71868999999992</v>
      </c>
      <c r="H93" s="416"/>
      <c r="I93" s="178" t="s">
        <v>288</v>
      </c>
      <c r="J93" s="178">
        <v>412.02793959999991</v>
      </c>
    </row>
    <row r="94" spans="1:10" s="6" customFormat="1" ht="28.5" x14ac:dyDescent="0.25">
      <c r="A94" s="268"/>
      <c r="B94" s="416"/>
      <c r="C94" s="416"/>
      <c r="D94" s="416"/>
      <c r="E94" s="416"/>
      <c r="F94" s="178" t="s">
        <v>58</v>
      </c>
      <c r="G94" s="173">
        <v>4.0248100000000004</v>
      </c>
      <c r="H94" s="416"/>
      <c r="I94" s="178" t="s">
        <v>18</v>
      </c>
      <c r="J94" s="178" t="s">
        <v>18</v>
      </c>
    </row>
    <row r="95" spans="1:10" s="6" customFormat="1" ht="28.5" x14ac:dyDescent="0.25">
      <c r="A95" s="268"/>
      <c r="B95" s="416"/>
      <c r="C95" s="416"/>
      <c r="D95" s="416"/>
      <c r="E95" s="416"/>
      <c r="F95" s="178" t="s">
        <v>182</v>
      </c>
      <c r="G95" s="173">
        <f>341867.33/1000</f>
        <v>341.86733000000004</v>
      </c>
      <c r="H95" s="416"/>
      <c r="I95" s="178" t="s">
        <v>18</v>
      </c>
      <c r="J95" s="178" t="s">
        <v>18</v>
      </c>
    </row>
    <row r="96" spans="1:10" s="6" customFormat="1" ht="28.5" x14ac:dyDescent="0.25">
      <c r="A96" s="268"/>
      <c r="B96" s="416"/>
      <c r="C96" s="416"/>
      <c r="D96" s="416"/>
      <c r="E96" s="416"/>
      <c r="F96" s="178" t="s">
        <v>260</v>
      </c>
      <c r="G96" s="173">
        <v>152.18634639999996</v>
      </c>
      <c r="H96" s="416"/>
      <c r="I96" s="178"/>
      <c r="J96" s="178"/>
    </row>
    <row r="97" spans="1:10" s="6" customFormat="1" ht="28.5" x14ac:dyDescent="0.25">
      <c r="A97" s="268"/>
      <c r="B97" s="417"/>
      <c r="C97" s="417"/>
      <c r="D97" s="417"/>
      <c r="E97" s="417"/>
      <c r="F97" s="154" t="s">
        <v>386</v>
      </c>
      <c r="G97" s="153">
        <f>412027.94/1000</f>
        <v>412.02794</v>
      </c>
      <c r="H97" s="417"/>
      <c r="I97" s="261" t="s">
        <v>466</v>
      </c>
      <c r="J97" s="280">
        <f>98926.775/1000</f>
        <v>98.926774999999992</v>
      </c>
    </row>
    <row r="98" spans="1:10" s="6" customFormat="1" ht="20.25" customHeight="1" x14ac:dyDescent="0.25">
      <c r="A98" s="268"/>
      <c r="B98" s="423" t="s">
        <v>253</v>
      </c>
      <c r="C98" s="423"/>
      <c r="D98" s="173"/>
      <c r="E98" s="173"/>
      <c r="F98" s="178"/>
      <c r="G98" s="173"/>
      <c r="H98" s="173">
        <f>J98</f>
        <v>7137.4930101999998</v>
      </c>
      <c r="I98" s="178"/>
      <c r="J98" s="178">
        <v>7137.4930101999998</v>
      </c>
    </row>
    <row r="99" spans="1:10" s="6" customFormat="1" ht="25.5" customHeight="1" x14ac:dyDescent="0.25">
      <c r="A99" s="268"/>
      <c r="B99" s="423" t="s">
        <v>252</v>
      </c>
      <c r="C99" s="423"/>
      <c r="D99" s="173"/>
      <c r="E99" s="173"/>
      <c r="F99" s="178"/>
      <c r="G99" s="173"/>
      <c r="H99" s="173">
        <f>J99</f>
        <v>5919.9195682</v>
      </c>
      <c r="I99" s="178"/>
      <c r="J99" s="178">
        <v>5919.9195682</v>
      </c>
    </row>
    <row r="100" spans="1:10" s="6" customFormat="1" ht="25.5" customHeight="1" x14ac:dyDescent="0.25">
      <c r="A100" s="268"/>
      <c r="B100" s="423" t="s">
        <v>484</v>
      </c>
      <c r="C100" s="423"/>
      <c r="D100" s="228"/>
      <c r="E100" s="228"/>
      <c r="F100" s="214"/>
      <c r="G100" s="228"/>
      <c r="H100" s="228">
        <f>J100</f>
        <v>1408.3418354</v>
      </c>
      <c r="I100" s="214"/>
      <c r="J100" s="214">
        <f>1408341.8354/1000</f>
        <v>1408.3418354</v>
      </c>
    </row>
    <row r="101" spans="1:10" s="6" customFormat="1" ht="54.75" customHeight="1" x14ac:dyDescent="0.25">
      <c r="A101" s="268"/>
      <c r="B101" s="423" t="s">
        <v>59</v>
      </c>
      <c r="C101" s="423" t="s">
        <v>225</v>
      </c>
      <c r="D101" s="421">
        <f>143412108/1000</f>
        <v>143412.10800000001</v>
      </c>
      <c r="E101" s="421">
        <f>SUM(G101:G119)</f>
        <v>77719.645410000012</v>
      </c>
      <c r="F101" s="178" t="s">
        <v>60</v>
      </c>
      <c r="G101" s="173">
        <f>16086573.81/1000</f>
        <v>16086.57381</v>
      </c>
      <c r="H101" s="421">
        <f>SUM(J101:J115)</f>
        <v>13894.080911200001</v>
      </c>
      <c r="I101" s="178" t="s">
        <v>255</v>
      </c>
      <c r="J101" s="173">
        <v>1482.5121749999998</v>
      </c>
    </row>
    <row r="102" spans="1:10" s="6" customFormat="1" ht="31.5" customHeight="1" x14ac:dyDescent="0.25">
      <c r="A102" s="268"/>
      <c r="B102" s="423"/>
      <c r="C102" s="423"/>
      <c r="D102" s="421"/>
      <c r="E102" s="421"/>
      <c r="F102" s="178" t="s">
        <v>61</v>
      </c>
      <c r="G102" s="173">
        <f>292539.95/1000</f>
        <v>292.53995000000003</v>
      </c>
      <c r="H102" s="421"/>
      <c r="I102" s="135" t="s">
        <v>415</v>
      </c>
      <c r="J102" s="131">
        <f>1902129.1902/1000</f>
        <v>1902.1291902</v>
      </c>
    </row>
    <row r="103" spans="1:10" s="6" customFormat="1" ht="28.5" x14ac:dyDescent="0.25">
      <c r="A103" s="268"/>
      <c r="B103" s="423"/>
      <c r="C103" s="423"/>
      <c r="D103" s="421"/>
      <c r="E103" s="421"/>
      <c r="F103" s="178" t="s">
        <v>62</v>
      </c>
      <c r="G103" s="173">
        <v>636.48311999999999</v>
      </c>
      <c r="H103" s="421"/>
      <c r="I103" s="210" t="s">
        <v>432</v>
      </c>
      <c r="J103" s="191">
        <f>9611700.266/1000</f>
        <v>9611.7002660000016</v>
      </c>
    </row>
    <row r="104" spans="1:10" s="6" customFormat="1" ht="28.5" x14ac:dyDescent="0.25">
      <c r="A104" s="268"/>
      <c r="B104" s="423"/>
      <c r="C104" s="423"/>
      <c r="D104" s="421"/>
      <c r="E104" s="421"/>
      <c r="F104" s="423" t="s">
        <v>63</v>
      </c>
      <c r="G104" s="173">
        <v>1196.35187</v>
      </c>
      <c r="H104" s="421"/>
      <c r="I104" s="210" t="s">
        <v>432</v>
      </c>
      <c r="J104" s="210">
        <f>897739.28/1000</f>
        <v>897.73928000000001</v>
      </c>
    </row>
    <row r="105" spans="1:10" s="6" customFormat="1" x14ac:dyDescent="0.25">
      <c r="A105" s="268"/>
      <c r="B105" s="423"/>
      <c r="C105" s="423"/>
      <c r="D105" s="421"/>
      <c r="E105" s="421"/>
      <c r="F105" s="423"/>
      <c r="G105" s="173">
        <v>622.94609000000003</v>
      </c>
      <c r="H105" s="421"/>
      <c r="I105" s="178" t="s">
        <v>18</v>
      </c>
      <c r="J105" s="178" t="s">
        <v>18</v>
      </c>
    </row>
    <row r="106" spans="1:10" s="6" customFormat="1" ht="28.5" x14ac:dyDescent="0.25">
      <c r="A106" s="268"/>
      <c r="B106" s="423"/>
      <c r="C106" s="423" t="s">
        <v>226</v>
      </c>
      <c r="D106" s="421">
        <f>143769977.9/1000</f>
        <v>143769.9779</v>
      </c>
      <c r="E106" s="421"/>
      <c r="F106" s="178" t="s">
        <v>64</v>
      </c>
      <c r="G106" s="173">
        <v>2955.7913199999998</v>
      </c>
      <c r="H106" s="421"/>
      <c r="I106" s="178" t="s">
        <v>18</v>
      </c>
      <c r="J106" s="178" t="s">
        <v>18</v>
      </c>
    </row>
    <row r="107" spans="1:10" s="6" customFormat="1" ht="28.5" x14ac:dyDescent="0.25">
      <c r="A107" s="268"/>
      <c r="B107" s="423"/>
      <c r="C107" s="423"/>
      <c r="D107" s="421"/>
      <c r="E107" s="421"/>
      <c r="F107" s="178" t="s">
        <v>65</v>
      </c>
      <c r="G107" s="173">
        <v>3937.3973700000001</v>
      </c>
      <c r="H107" s="421"/>
      <c r="I107" s="178" t="s">
        <v>18</v>
      </c>
      <c r="J107" s="178" t="s">
        <v>18</v>
      </c>
    </row>
    <row r="108" spans="1:10" s="6" customFormat="1" ht="28.5" x14ac:dyDescent="0.25">
      <c r="A108" s="268"/>
      <c r="B108" s="423"/>
      <c r="C108" s="423"/>
      <c r="D108" s="421"/>
      <c r="E108" s="421"/>
      <c r="F108" s="178" t="s">
        <v>66</v>
      </c>
      <c r="G108" s="173">
        <v>7794.63627</v>
      </c>
      <c r="H108" s="421"/>
      <c r="I108" s="178" t="s">
        <v>18</v>
      </c>
      <c r="J108" s="178" t="s">
        <v>18</v>
      </c>
    </row>
    <row r="109" spans="1:10" s="6" customFormat="1" ht="28.5" x14ac:dyDescent="0.25">
      <c r="A109" s="268"/>
      <c r="B109" s="423"/>
      <c r="C109" s="423"/>
      <c r="D109" s="421"/>
      <c r="E109" s="421"/>
      <c r="F109" s="178" t="s">
        <v>67</v>
      </c>
      <c r="G109" s="173">
        <v>8396.4669300000005</v>
      </c>
      <c r="H109" s="421"/>
      <c r="I109" s="178" t="s">
        <v>18</v>
      </c>
      <c r="J109" s="178" t="s">
        <v>18</v>
      </c>
    </row>
    <row r="110" spans="1:10" s="6" customFormat="1" ht="28.5" x14ac:dyDescent="0.25">
      <c r="A110" s="268"/>
      <c r="B110" s="423"/>
      <c r="C110" s="423"/>
      <c r="D110" s="421"/>
      <c r="E110" s="421"/>
      <c r="F110" s="178" t="s">
        <v>186</v>
      </c>
      <c r="G110" s="173">
        <v>5037.8801599999997</v>
      </c>
      <c r="H110" s="421"/>
      <c r="I110" s="178" t="s">
        <v>18</v>
      </c>
      <c r="J110" s="178" t="s">
        <v>18</v>
      </c>
    </row>
    <row r="111" spans="1:10" s="6" customFormat="1" ht="28.5" x14ac:dyDescent="0.25">
      <c r="A111" s="268"/>
      <c r="B111" s="423"/>
      <c r="C111" s="423"/>
      <c r="D111" s="421"/>
      <c r="E111" s="421"/>
      <c r="F111" s="178" t="s">
        <v>187</v>
      </c>
      <c r="G111" s="173">
        <v>4676.7817599999998</v>
      </c>
      <c r="H111" s="421"/>
      <c r="I111" s="178" t="s">
        <v>18</v>
      </c>
      <c r="J111" s="178" t="s">
        <v>18</v>
      </c>
    </row>
    <row r="112" spans="1:10" s="6" customFormat="1" ht="28.5" x14ac:dyDescent="0.25">
      <c r="A112" s="268"/>
      <c r="B112" s="423"/>
      <c r="C112" s="423"/>
      <c r="D112" s="421"/>
      <c r="E112" s="421"/>
      <c r="F112" s="178" t="s">
        <v>195</v>
      </c>
      <c r="G112" s="173">
        <v>1773.47479</v>
      </c>
      <c r="H112" s="421"/>
      <c r="I112" s="178" t="s">
        <v>18</v>
      </c>
      <c r="J112" s="178" t="s">
        <v>18</v>
      </c>
    </row>
    <row r="113" spans="1:10" s="6" customFormat="1" ht="28.5" x14ac:dyDescent="0.25">
      <c r="A113" s="268"/>
      <c r="B113" s="423"/>
      <c r="C113" s="423"/>
      <c r="D113" s="421"/>
      <c r="E113" s="421"/>
      <c r="F113" s="178" t="s">
        <v>192</v>
      </c>
      <c r="G113" s="173">
        <v>2362.43842</v>
      </c>
      <c r="H113" s="421"/>
      <c r="I113" s="178" t="s">
        <v>18</v>
      </c>
      <c r="J113" s="178" t="s">
        <v>18</v>
      </c>
    </row>
    <row r="114" spans="1:10" s="6" customFormat="1" ht="28.5" x14ac:dyDescent="0.25">
      <c r="A114" s="268"/>
      <c r="B114" s="423"/>
      <c r="C114" s="423"/>
      <c r="D114" s="421"/>
      <c r="E114" s="421"/>
      <c r="F114" s="178" t="s">
        <v>191</v>
      </c>
      <c r="G114" s="173">
        <v>1091.5787800000001</v>
      </c>
      <c r="H114" s="421"/>
      <c r="I114" s="178" t="s">
        <v>18</v>
      </c>
      <c r="J114" s="178" t="s">
        <v>18</v>
      </c>
    </row>
    <row r="115" spans="1:10" s="6" customFormat="1" ht="28.5" x14ac:dyDescent="0.25">
      <c r="A115" s="268"/>
      <c r="B115" s="423"/>
      <c r="C115" s="423"/>
      <c r="D115" s="421"/>
      <c r="E115" s="421"/>
      <c r="F115" s="178" t="s">
        <v>194</v>
      </c>
      <c r="G115" s="173">
        <v>381.88986999999997</v>
      </c>
      <c r="H115" s="421"/>
      <c r="I115" s="178" t="s">
        <v>18</v>
      </c>
      <c r="J115" s="178" t="s">
        <v>18</v>
      </c>
    </row>
    <row r="116" spans="1:10" s="6" customFormat="1" ht="28.5" x14ac:dyDescent="0.25">
      <c r="A116" s="268"/>
      <c r="B116" s="178"/>
      <c r="C116" s="178"/>
      <c r="D116" s="173"/>
      <c r="E116" s="173"/>
      <c r="F116" s="154" t="s">
        <v>387</v>
      </c>
      <c r="G116" s="153">
        <f>1902129.19/1000</f>
        <v>1902.1291899999999</v>
      </c>
      <c r="H116" s="173"/>
      <c r="I116" s="178"/>
      <c r="J116" s="178"/>
    </row>
    <row r="117" spans="1:10" s="6" customFormat="1" ht="28.5" x14ac:dyDescent="0.25">
      <c r="A117" s="268"/>
      <c r="B117" s="178"/>
      <c r="C117" s="178"/>
      <c r="D117" s="173"/>
      <c r="E117" s="173"/>
      <c r="F117" s="106" t="s">
        <v>320</v>
      </c>
      <c r="G117" s="185">
        <f>5108014.58/1000</f>
        <v>5108.01458</v>
      </c>
      <c r="H117" s="173"/>
      <c r="I117" s="178"/>
      <c r="J117" s="178"/>
    </row>
    <row r="118" spans="1:10" s="6" customFormat="1" ht="28.5" x14ac:dyDescent="0.25">
      <c r="A118" s="268"/>
      <c r="B118" s="178"/>
      <c r="C118" s="178"/>
      <c r="D118" s="173"/>
      <c r="E118" s="173"/>
      <c r="F118" s="106" t="s">
        <v>321</v>
      </c>
      <c r="G118" s="185">
        <f>5108014.58/1000</f>
        <v>5108.01458</v>
      </c>
      <c r="H118" s="173"/>
      <c r="I118" s="178"/>
      <c r="J118" s="178"/>
    </row>
    <row r="119" spans="1:10" s="6" customFormat="1" ht="28.5" x14ac:dyDescent="0.25">
      <c r="A119" s="268"/>
      <c r="B119" s="178"/>
      <c r="C119" s="178"/>
      <c r="D119" s="173"/>
      <c r="E119" s="173"/>
      <c r="F119" s="106" t="s">
        <v>322</v>
      </c>
      <c r="G119" s="185">
        <f>8358256.55/1000</f>
        <v>8358.2565500000001</v>
      </c>
      <c r="H119" s="173"/>
      <c r="I119" s="178"/>
      <c r="J119" s="178"/>
    </row>
    <row r="120" spans="1:10" s="6" customFormat="1" x14ac:dyDescent="0.25">
      <c r="A120" s="268"/>
      <c r="B120" s="423" t="s">
        <v>253</v>
      </c>
      <c r="C120" s="423"/>
      <c r="D120" s="173"/>
      <c r="E120" s="173"/>
      <c r="F120" s="178"/>
      <c r="G120" s="173"/>
      <c r="H120" s="173">
        <f>J120</f>
        <v>7794.6363789999996</v>
      </c>
      <c r="I120" s="178"/>
      <c r="J120" s="178">
        <v>7794.6363789999996</v>
      </c>
    </row>
    <row r="121" spans="1:10" s="6" customFormat="1" x14ac:dyDescent="0.25">
      <c r="A121" s="268"/>
      <c r="B121" s="423" t="s">
        <v>382</v>
      </c>
      <c r="C121" s="423"/>
      <c r="D121" s="173"/>
      <c r="E121" s="173"/>
      <c r="F121" s="178"/>
      <c r="G121" s="173"/>
      <c r="H121" s="135">
        <f>25472184.8966/1000</f>
        <v>25472.1848966</v>
      </c>
      <c r="I121" s="178"/>
      <c r="J121" s="135">
        <f>25472184.8966/1000</f>
        <v>25472.1848966</v>
      </c>
    </row>
    <row r="122" spans="1:10" s="6" customFormat="1" x14ac:dyDescent="0.25">
      <c r="A122" s="268"/>
      <c r="B122" s="423" t="s">
        <v>395</v>
      </c>
      <c r="C122" s="423"/>
      <c r="D122" s="173"/>
      <c r="E122" s="173"/>
      <c r="F122" s="178"/>
      <c r="G122" s="173"/>
      <c r="H122" s="154">
        <f>8191838.7278/1000</f>
        <v>8191.8387278</v>
      </c>
      <c r="I122" s="178"/>
      <c r="J122" s="154">
        <f>8191838.7278/1000</f>
        <v>8191.8387278</v>
      </c>
    </row>
    <row r="123" spans="1:10" s="6" customFormat="1" ht="33" customHeight="1" x14ac:dyDescent="0.25">
      <c r="A123" s="268"/>
      <c r="B123" s="424" t="s">
        <v>59</v>
      </c>
      <c r="C123" s="178" t="s">
        <v>412</v>
      </c>
      <c r="D123" s="361">
        <f>30668.87*16/1000</f>
        <v>490.70191999999997</v>
      </c>
      <c r="E123" s="153">
        <f>G123</f>
        <v>61.337739999999997</v>
      </c>
      <c r="F123" s="154" t="s">
        <v>385</v>
      </c>
      <c r="G123" s="153">
        <f>61337.74/1000</f>
        <v>61.337739999999997</v>
      </c>
      <c r="H123" s="131">
        <f>J123</f>
        <v>61.337745200000001</v>
      </c>
      <c r="I123" s="135" t="s">
        <v>414</v>
      </c>
      <c r="J123" s="131">
        <f>61337.7452/1000</f>
        <v>61.337745200000001</v>
      </c>
    </row>
    <row r="124" spans="1:10" s="6" customFormat="1" ht="40.5" customHeight="1" x14ac:dyDescent="0.25">
      <c r="A124" s="268"/>
      <c r="B124" s="416"/>
      <c r="C124" s="178" t="s">
        <v>413</v>
      </c>
      <c r="D124" s="362"/>
      <c r="E124" s="153">
        <f>G124</f>
        <v>30.668869999999998</v>
      </c>
      <c r="F124" s="154" t="s">
        <v>388</v>
      </c>
      <c r="G124" s="153">
        <f>30668.87/1000</f>
        <v>30.668869999999998</v>
      </c>
      <c r="H124" s="131">
        <f>J124</f>
        <v>30.6688726</v>
      </c>
      <c r="I124" s="135" t="s">
        <v>419</v>
      </c>
      <c r="J124" s="131">
        <f>30668.8726/1000</f>
        <v>30.6688726</v>
      </c>
    </row>
    <row r="125" spans="1:10" s="1" customFormat="1" ht="40.5" customHeight="1" x14ac:dyDescent="0.25">
      <c r="A125" s="268"/>
      <c r="B125" s="417"/>
      <c r="C125" s="214"/>
      <c r="D125" s="363"/>
      <c r="E125" s="228"/>
      <c r="F125" s="214"/>
      <c r="G125" s="228"/>
      <c r="H125" s="215">
        <f>J125</f>
        <v>30.6688726</v>
      </c>
      <c r="I125" s="261" t="s">
        <v>446</v>
      </c>
      <c r="J125" s="244">
        <f>30668.8726/1000</f>
        <v>30.6688726</v>
      </c>
    </row>
    <row r="126" spans="1:10" s="6" customFormat="1" x14ac:dyDescent="0.25">
      <c r="A126" s="268"/>
      <c r="B126" s="423" t="s">
        <v>200</v>
      </c>
      <c r="C126" s="423"/>
      <c r="D126" s="178" t="s">
        <v>18</v>
      </c>
      <c r="E126" s="173">
        <f>G126</f>
        <v>130.7268</v>
      </c>
      <c r="F126" s="173" t="s">
        <v>18</v>
      </c>
      <c r="G126" s="173">
        <f>130726.8/1000</f>
        <v>130.7268</v>
      </c>
      <c r="H126" s="173">
        <f t="shared" ref="H126:H135" si="5">J126</f>
        <v>130.7268</v>
      </c>
      <c r="I126" s="173" t="s">
        <v>18</v>
      </c>
      <c r="J126" s="173">
        <f>130726.8/1000</f>
        <v>130.7268</v>
      </c>
    </row>
    <row r="127" spans="1:10" s="6" customFormat="1" x14ac:dyDescent="0.25">
      <c r="A127" s="268"/>
      <c r="B127" s="423" t="s">
        <v>248</v>
      </c>
      <c r="C127" s="423"/>
      <c r="D127" s="178" t="s">
        <v>18</v>
      </c>
      <c r="E127" s="173">
        <f t="shared" ref="E127:E132" si="6">G127</f>
        <v>62.11835</v>
      </c>
      <c r="F127" s="173" t="s">
        <v>18</v>
      </c>
      <c r="G127" s="173">
        <v>62.11835</v>
      </c>
      <c r="H127" s="173">
        <f t="shared" si="5"/>
        <v>62.11835</v>
      </c>
      <c r="I127" s="173" t="s">
        <v>18</v>
      </c>
      <c r="J127" s="173">
        <v>62.11835</v>
      </c>
    </row>
    <row r="128" spans="1:10" s="6" customFormat="1" x14ac:dyDescent="0.25">
      <c r="A128" s="268"/>
      <c r="B128" s="423" t="s">
        <v>249</v>
      </c>
      <c r="C128" s="423"/>
      <c r="D128" s="178" t="s">
        <v>18</v>
      </c>
      <c r="E128" s="173">
        <f t="shared" si="6"/>
        <v>41.845049999999986</v>
      </c>
      <c r="F128" s="173" t="s">
        <v>18</v>
      </c>
      <c r="G128" s="173">
        <v>41.845049999999986</v>
      </c>
      <c r="H128" s="173">
        <f t="shared" si="5"/>
        <v>41.845049999999986</v>
      </c>
      <c r="I128" s="173" t="s">
        <v>18</v>
      </c>
      <c r="J128" s="173">
        <v>41.845049999999986</v>
      </c>
    </row>
    <row r="129" spans="1:11" s="6" customFormat="1" x14ac:dyDescent="0.25">
      <c r="A129" s="268"/>
      <c r="B129" s="423" t="s">
        <v>250</v>
      </c>
      <c r="C129" s="423"/>
      <c r="D129" s="178" t="s">
        <v>18</v>
      </c>
      <c r="E129" s="173">
        <f t="shared" si="6"/>
        <v>112.54352</v>
      </c>
      <c r="F129" s="173" t="s">
        <v>18</v>
      </c>
      <c r="G129" s="173">
        <v>112.54352</v>
      </c>
      <c r="H129" s="173">
        <f t="shared" si="5"/>
        <v>112.54352</v>
      </c>
      <c r="I129" s="173" t="s">
        <v>18</v>
      </c>
      <c r="J129" s="173">
        <v>112.54352</v>
      </c>
    </row>
    <row r="130" spans="1:11" s="6" customFormat="1" x14ac:dyDescent="0.25">
      <c r="A130" s="268"/>
      <c r="B130" s="423" t="s">
        <v>379</v>
      </c>
      <c r="C130" s="423"/>
      <c r="D130" s="178" t="s">
        <v>18</v>
      </c>
      <c r="E130" s="173">
        <f t="shared" si="6"/>
        <v>203.01075</v>
      </c>
      <c r="F130" s="173" t="s">
        <v>18</v>
      </c>
      <c r="G130" s="131">
        <f>203010.75/1000</f>
        <v>203.01075</v>
      </c>
      <c r="H130" s="173">
        <f t="shared" si="5"/>
        <v>203.01075</v>
      </c>
      <c r="I130" s="173" t="s">
        <v>18</v>
      </c>
      <c r="J130" s="131">
        <f>203010.75/1000</f>
        <v>203.01075</v>
      </c>
    </row>
    <row r="131" spans="1:11" s="6" customFormat="1" x14ac:dyDescent="0.25">
      <c r="A131" s="268"/>
      <c r="B131" s="423" t="s">
        <v>380</v>
      </c>
      <c r="C131" s="423"/>
      <c r="D131" s="178" t="s">
        <v>18</v>
      </c>
      <c r="E131" s="173">
        <f t="shared" si="6"/>
        <v>416.14819</v>
      </c>
      <c r="F131" s="173" t="s">
        <v>18</v>
      </c>
      <c r="G131" s="179">
        <f>416148.19/1000</f>
        <v>416.14819</v>
      </c>
      <c r="H131" s="173">
        <f t="shared" si="5"/>
        <v>416.14819</v>
      </c>
      <c r="I131" s="173" t="s">
        <v>18</v>
      </c>
      <c r="J131" s="179">
        <f>416148.19/1000</f>
        <v>416.14819</v>
      </c>
      <c r="K131" s="13"/>
    </row>
    <row r="132" spans="1:11" s="6" customFormat="1" x14ac:dyDescent="0.25">
      <c r="A132" s="269"/>
      <c r="B132" s="423" t="s">
        <v>381</v>
      </c>
      <c r="C132" s="423"/>
      <c r="D132" s="178" t="s">
        <v>18</v>
      </c>
      <c r="E132" s="173">
        <f t="shared" si="6"/>
        <v>405.22330999999997</v>
      </c>
      <c r="F132" s="173" t="s">
        <v>18</v>
      </c>
      <c r="G132" s="192">
        <f>405223.31/1000</f>
        <v>405.22330999999997</v>
      </c>
      <c r="H132" s="173">
        <f t="shared" si="5"/>
        <v>405.22330999999997</v>
      </c>
      <c r="I132" s="173" t="s">
        <v>18</v>
      </c>
      <c r="J132" s="192">
        <f>405223.31/1000</f>
        <v>405.22330999999997</v>
      </c>
    </row>
    <row r="133" spans="1:11" s="6" customFormat="1" ht="15.75" thickBot="1" x14ac:dyDescent="0.3">
      <c r="A133" s="76"/>
      <c r="B133" s="69"/>
      <c r="C133" s="69"/>
      <c r="D133" s="69"/>
      <c r="E133" s="77"/>
      <c r="F133" s="77"/>
      <c r="G133" s="77"/>
      <c r="H133" s="77"/>
      <c r="I133" s="77"/>
      <c r="J133" s="77"/>
    </row>
    <row r="134" spans="1:11" s="6" customFormat="1" ht="28.5" customHeight="1" x14ac:dyDescent="0.25">
      <c r="A134" s="379" t="s">
        <v>198</v>
      </c>
      <c r="B134" s="47" t="s">
        <v>468</v>
      </c>
      <c r="C134" s="48" t="s">
        <v>199</v>
      </c>
      <c r="D134" s="49">
        <v>19.6450058</v>
      </c>
      <c r="E134" s="49" t="str">
        <f>G134</f>
        <v>__</v>
      </c>
      <c r="F134" s="17" t="s">
        <v>18</v>
      </c>
      <c r="G134" s="17" t="s">
        <v>18</v>
      </c>
      <c r="H134" s="49">
        <f>J134</f>
        <v>19.6450058</v>
      </c>
      <c r="I134" s="16" t="s">
        <v>208</v>
      </c>
      <c r="J134" s="18">
        <v>19.6450058</v>
      </c>
    </row>
    <row r="135" spans="1:11" s="6" customFormat="1" ht="28.5" x14ac:dyDescent="0.25">
      <c r="A135" s="369"/>
      <c r="B135" s="443" t="s">
        <v>59</v>
      </c>
      <c r="C135" s="365" t="s">
        <v>218</v>
      </c>
      <c r="D135" s="367">
        <f>9009348.3/1000</f>
        <v>9009.3483000000015</v>
      </c>
      <c r="E135" s="367">
        <f>G135+G136</f>
        <v>9245.8022500000006</v>
      </c>
      <c r="F135" s="105" t="s">
        <v>319</v>
      </c>
      <c r="G135" s="105">
        <f>6631197.19/1000</f>
        <v>6631.1971900000008</v>
      </c>
      <c r="H135" s="51">
        <f t="shared" si="5"/>
        <v>2614.6050599999999</v>
      </c>
      <c r="I135" s="29" t="s">
        <v>254</v>
      </c>
      <c r="J135" s="30">
        <v>2614.6050599999999</v>
      </c>
    </row>
    <row r="136" spans="1:11" s="6" customFormat="1" ht="28.5" x14ac:dyDescent="0.25">
      <c r="A136" s="369"/>
      <c r="B136" s="445"/>
      <c r="C136" s="366"/>
      <c r="D136" s="368"/>
      <c r="E136" s="368"/>
      <c r="F136" s="130" t="s">
        <v>372</v>
      </c>
      <c r="G136" s="130">
        <f>2614605.06/1000</f>
        <v>2614.6050599999999</v>
      </c>
      <c r="H136" s="134"/>
      <c r="I136" s="122"/>
      <c r="J136" s="46"/>
    </row>
    <row r="137" spans="1:11" s="6" customFormat="1" ht="28.5" x14ac:dyDescent="0.25">
      <c r="A137" s="369"/>
      <c r="B137" s="133" t="s">
        <v>263</v>
      </c>
      <c r="C137" s="182" t="s">
        <v>264</v>
      </c>
      <c r="D137" s="134">
        <f>66177229.59/1000</f>
        <v>66177.229590000003</v>
      </c>
      <c r="E137" s="134">
        <f t="shared" ref="E137:E160" si="7">G137</f>
        <v>19853.168879999997</v>
      </c>
      <c r="F137" s="181" t="s">
        <v>265</v>
      </c>
      <c r="G137" s="206">
        <v>19853.168879999997</v>
      </c>
      <c r="H137" s="134"/>
      <c r="I137" s="181"/>
      <c r="J137" s="46"/>
    </row>
    <row r="138" spans="1:11" s="6" customFormat="1" ht="30" customHeight="1" x14ac:dyDescent="0.25">
      <c r="A138" s="369"/>
      <c r="B138" s="133" t="s">
        <v>59</v>
      </c>
      <c r="C138" s="218" t="s">
        <v>443</v>
      </c>
      <c r="D138" s="212">
        <f>70330.36/1000</f>
        <v>70.330359999999999</v>
      </c>
      <c r="E138" s="265">
        <f>SUM(G138:G138)</f>
        <v>0</v>
      </c>
      <c r="F138" s="232"/>
      <c r="G138" s="206"/>
      <c r="H138" s="262">
        <f>J138</f>
        <v>70.330359999999999</v>
      </c>
      <c r="I138" s="263" t="s">
        <v>444</v>
      </c>
      <c r="J138" s="264">
        <f>70330.36/1000</f>
        <v>70.330359999999999</v>
      </c>
      <c r="K138" s="281" t="e">
        <f>#REF!-#REF!</f>
        <v>#REF!</v>
      </c>
    </row>
    <row r="139" spans="1:11" s="6" customFormat="1" ht="30" customHeight="1" x14ac:dyDescent="0.25">
      <c r="A139" s="369"/>
      <c r="B139" s="133" t="s">
        <v>59</v>
      </c>
      <c r="C139" s="218" t="s">
        <v>488</v>
      </c>
      <c r="D139" s="212">
        <f>5175579/1000</f>
        <v>5175.5789999999997</v>
      </c>
      <c r="E139" s="265"/>
      <c r="F139" s="232"/>
      <c r="G139" s="206"/>
      <c r="H139" s="262">
        <f>J139</f>
        <v>5175.5790020000004</v>
      </c>
      <c r="I139" s="263" t="s">
        <v>489</v>
      </c>
      <c r="J139" s="264">
        <f>5175579.002/1000</f>
        <v>5175.5790020000004</v>
      </c>
    </row>
    <row r="140" spans="1:11" s="6" customFormat="1" ht="30" customHeight="1" x14ac:dyDescent="0.25">
      <c r="A140" s="369"/>
      <c r="B140" s="133" t="s">
        <v>59</v>
      </c>
      <c r="C140" s="218" t="s">
        <v>490</v>
      </c>
      <c r="D140" s="212">
        <f>5084043/1000</f>
        <v>5084.0429999999997</v>
      </c>
      <c r="E140" s="265"/>
      <c r="F140" s="232"/>
      <c r="G140" s="206"/>
      <c r="H140" s="262">
        <f>J140</f>
        <v>5084.0430036000007</v>
      </c>
      <c r="I140" s="263" t="s">
        <v>491</v>
      </c>
      <c r="J140" s="264">
        <f>5084043.0036/1000</f>
        <v>5084.0430036000007</v>
      </c>
    </row>
    <row r="141" spans="1:11" s="6" customFormat="1" ht="28.5" x14ac:dyDescent="0.25">
      <c r="A141" s="369"/>
      <c r="B141" s="443" t="s">
        <v>469</v>
      </c>
      <c r="C141" s="365" t="s">
        <v>470</v>
      </c>
      <c r="D141" s="206">
        <f>227158850.84/1000</f>
        <v>227158.85084</v>
      </c>
      <c r="E141" s="212"/>
      <c r="F141" s="232"/>
      <c r="G141" s="206"/>
      <c r="H141" s="212">
        <f>J141</f>
        <v>11679.742825200001</v>
      </c>
      <c r="I141" s="232" t="s">
        <v>471</v>
      </c>
      <c r="J141" s="282">
        <f>11679742.8252/1000</f>
        <v>11679.742825200001</v>
      </c>
    </row>
    <row r="142" spans="1:11" s="6" customFormat="1" ht="28.5" x14ac:dyDescent="0.25">
      <c r="A142" s="369"/>
      <c r="B142" s="444"/>
      <c r="C142" s="380"/>
      <c r="D142" s="212"/>
      <c r="E142" s="212"/>
      <c r="F142" s="232"/>
      <c r="G142" s="206"/>
      <c r="H142" s="212">
        <f t="shared" ref="H142:H143" si="8">J142</f>
        <v>2222.7392140000002</v>
      </c>
      <c r="I142" s="232" t="s">
        <v>471</v>
      </c>
      <c r="J142" s="282">
        <f>2222739.214/1000</f>
        <v>2222.7392140000002</v>
      </c>
    </row>
    <row r="143" spans="1:11" s="6" customFormat="1" ht="28.5" x14ac:dyDescent="0.25">
      <c r="A143" s="369"/>
      <c r="B143" s="445"/>
      <c r="C143" s="366"/>
      <c r="D143" s="212"/>
      <c r="E143" s="212"/>
      <c r="F143" s="232"/>
      <c r="G143" s="206"/>
      <c r="H143" s="212">
        <f t="shared" si="8"/>
        <v>7436.4529486000001</v>
      </c>
      <c r="I143" s="232" t="s">
        <v>471</v>
      </c>
      <c r="J143" s="282">
        <f>7436452.9486/1000</f>
        <v>7436.4529486000001</v>
      </c>
    </row>
    <row r="144" spans="1:11" s="6" customFormat="1" ht="42.75" x14ac:dyDescent="0.25">
      <c r="A144" s="369"/>
      <c r="B144" s="214" t="s">
        <v>448</v>
      </c>
      <c r="C144" s="214" t="s">
        <v>447</v>
      </c>
      <c r="D144" s="228">
        <f>13944000.01/1000</f>
        <v>13944.00001</v>
      </c>
      <c r="E144" s="228"/>
      <c r="F144" s="214"/>
      <c r="G144" s="228"/>
      <c r="H144" s="215">
        <f t="shared" ref="H144:H150" si="9">J144</f>
        <v>13944.0000206</v>
      </c>
      <c r="I144" s="261" t="s">
        <v>449</v>
      </c>
      <c r="J144" s="244">
        <f>13944000.0206/1000</f>
        <v>13944.0000206</v>
      </c>
    </row>
    <row r="145" spans="1:10" s="6" customFormat="1" ht="28.5" x14ac:dyDescent="0.25">
      <c r="A145" s="369"/>
      <c r="B145" s="233" t="s">
        <v>263</v>
      </c>
      <c r="C145" s="233" t="s">
        <v>494</v>
      </c>
      <c r="D145" s="228">
        <f>66177229.59/1000</f>
        <v>66177.229590000003</v>
      </c>
      <c r="E145" s="228"/>
      <c r="F145" s="214"/>
      <c r="G145" s="228"/>
      <c r="H145" s="215">
        <f t="shared" si="9"/>
        <v>66177.229592799995</v>
      </c>
      <c r="I145" s="261" t="s">
        <v>495</v>
      </c>
      <c r="J145" s="244">
        <f>66177229.5928/1000</f>
        <v>66177.229592799995</v>
      </c>
    </row>
    <row r="146" spans="1:10" s="6" customFormat="1" ht="28.5" x14ac:dyDescent="0.25">
      <c r="A146" s="369"/>
      <c r="B146" s="233" t="s">
        <v>498</v>
      </c>
      <c r="C146" s="233" t="s">
        <v>497</v>
      </c>
      <c r="D146" s="228">
        <f>347226/1000</f>
        <v>347.226</v>
      </c>
      <c r="E146" s="228"/>
      <c r="F146" s="214"/>
      <c r="G146" s="228"/>
      <c r="H146" s="215">
        <f t="shared" si="9"/>
        <v>35.225999999999999</v>
      </c>
      <c r="I146" s="261" t="s">
        <v>499</v>
      </c>
      <c r="J146" s="244">
        <v>35.225999999999999</v>
      </c>
    </row>
    <row r="147" spans="1:10" s="6" customFormat="1" ht="28.5" x14ac:dyDescent="0.25">
      <c r="A147" s="369"/>
      <c r="B147" s="365" t="s">
        <v>232</v>
      </c>
      <c r="C147" s="365" t="s">
        <v>233</v>
      </c>
      <c r="D147" s="228"/>
      <c r="E147" s="228"/>
      <c r="F147" s="214"/>
      <c r="G147" s="228"/>
      <c r="H147" s="215">
        <f t="shared" si="9"/>
        <v>627.47999779999998</v>
      </c>
      <c r="I147" s="261" t="s">
        <v>450</v>
      </c>
      <c r="J147" s="244">
        <f>627479.9978/1000</f>
        <v>627.47999779999998</v>
      </c>
    </row>
    <row r="148" spans="1:10" s="6" customFormat="1" ht="28.5" x14ac:dyDescent="0.25">
      <c r="A148" s="369"/>
      <c r="B148" s="366"/>
      <c r="C148" s="366"/>
      <c r="D148" s="212"/>
      <c r="E148" s="212"/>
      <c r="F148" s="232"/>
      <c r="G148" s="206"/>
      <c r="H148" s="111">
        <f t="shared" si="9"/>
        <v>748.37112760000002</v>
      </c>
      <c r="I148" s="226" t="s">
        <v>492</v>
      </c>
      <c r="J148" s="258">
        <f>748371.1276/1000</f>
        <v>748.37112760000002</v>
      </c>
    </row>
    <row r="149" spans="1:10" s="6" customFormat="1" ht="28.5" x14ac:dyDescent="0.25">
      <c r="A149" s="369"/>
      <c r="B149" s="133"/>
      <c r="C149" s="218"/>
      <c r="D149" s="212"/>
      <c r="E149" s="212"/>
      <c r="F149" s="232"/>
      <c r="G149" s="206"/>
      <c r="H149" s="111">
        <f t="shared" si="9"/>
        <v>1320.8077598000002</v>
      </c>
      <c r="I149" s="226" t="s">
        <v>493</v>
      </c>
      <c r="J149" s="258">
        <f>1320807.7598/1000</f>
        <v>1320.8077598000002</v>
      </c>
    </row>
    <row r="150" spans="1:10" s="6" customFormat="1" ht="28.5" x14ac:dyDescent="0.25">
      <c r="A150" s="369"/>
      <c r="B150" s="133"/>
      <c r="C150" s="218"/>
      <c r="D150" s="212"/>
      <c r="E150" s="212"/>
      <c r="F150" s="232"/>
      <c r="G150" s="206"/>
      <c r="H150" s="111">
        <f t="shared" si="9"/>
        <v>36364.387674199999</v>
      </c>
      <c r="I150" s="226" t="s">
        <v>496</v>
      </c>
      <c r="J150" s="258">
        <f>36364387.6742/1000</f>
        <v>36364.387674199999</v>
      </c>
    </row>
    <row r="151" spans="1:10" s="6" customFormat="1" x14ac:dyDescent="0.25">
      <c r="A151" s="369"/>
      <c r="B151" s="133"/>
      <c r="C151" s="218"/>
      <c r="D151" s="212"/>
      <c r="E151" s="212"/>
      <c r="F151" s="232"/>
      <c r="G151" s="206"/>
      <c r="H151" s="212"/>
      <c r="I151" s="232"/>
      <c r="J151" s="107"/>
    </row>
    <row r="152" spans="1:10" s="6" customFormat="1" x14ac:dyDescent="0.25">
      <c r="A152" s="369"/>
      <c r="B152" s="133"/>
      <c r="C152" s="218"/>
      <c r="D152" s="212"/>
      <c r="E152" s="212"/>
      <c r="F152" s="232"/>
      <c r="G152" s="206"/>
      <c r="H152" s="212"/>
      <c r="I152" s="232"/>
      <c r="J152" s="107"/>
    </row>
    <row r="153" spans="1:10" s="6" customFormat="1" ht="28.5" customHeight="1" x14ac:dyDescent="0.25">
      <c r="A153" s="369"/>
      <c r="B153" s="503" t="s">
        <v>400</v>
      </c>
      <c r="C153" s="503"/>
      <c r="D153" s="51"/>
      <c r="E153" s="367">
        <f>G153+G154+G155+G156</f>
        <v>11.400679999999999</v>
      </c>
      <c r="F153" s="208" t="s">
        <v>424</v>
      </c>
      <c r="G153" s="209">
        <f>2850.17/1000</f>
        <v>2.8501699999999999</v>
      </c>
      <c r="H153" s="367">
        <f>J153</f>
        <v>11.4</v>
      </c>
      <c r="I153" s="502" t="s">
        <v>396</v>
      </c>
      <c r="J153" s="498">
        <f>11400/1000</f>
        <v>11.4</v>
      </c>
    </row>
    <row r="154" spans="1:10" s="6" customFormat="1" x14ac:dyDescent="0.25">
      <c r="A154" s="369"/>
      <c r="B154" s="207"/>
      <c r="C154" s="207"/>
      <c r="D154" s="201"/>
      <c r="E154" s="384"/>
      <c r="F154" s="208" t="s">
        <v>425</v>
      </c>
      <c r="G154" s="209">
        <f t="shared" ref="G154:G156" si="10">2850.17/1000</f>
        <v>2.8501699999999999</v>
      </c>
      <c r="H154" s="384"/>
      <c r="I154" s="504"/>
      <c r="J154" s="499"/>
    </row>
    <row r="155" spans="1:10" s="6" customFormat="1" x14ac:dyDescent="0.25">
      <c r="A155" s="369"/>
      <c r="B155" s="207"/>
      <c r="C155" s="207"/>
      <c r="D155" s="201"/>
      <c r="E155" s="384"/>
      <c r="F155" s="208" t="s">
        <v>426</v>
      </c>
      <c r="G155" s="209">
        <f t="shared" si="10"/>
        <v>2.8501699999999999</v>
      </c>
      <c r="H155" s="384"/>
      <c r="I155" s="504"/>
      <c r="J155" s="499"/>
    </row>
    <row r="156" spans="1:10" s="6" customFormat="1" x14ac:dyDescent="0.25">
      <c r="A156" s="369"/>
      <c r="B156" s="207"/>
      <c r="C156" s="207"/>
      <c r="D156" s="201"/>
      <c r="E156" s="368"/>
      <c r="F156" s="208" t="s">
        <v>427</v>
      </c>
      <c r="G156" s="209">
        <f t="shared" si="10"/>
        <v>2.8501699999999999</v>
      </c>
      <c r="H156" s="368"/>
      <c r="I156" s="505"/>
      <c r="J156" s="500"/>
    </row>
    <row r="157" spans="1:10" s="6" customFormat="1" ht="99.75" x14ac:dyDescent="0.25">
      <c r="A157" s="369"/>
      <c r="B157" s="50"/>
      <c r="C157" s="174"/>
      <c r="D157" s="51"/>
      <c r="E157" s="51">
        <f t="shared" si="7"/>
        <v>2.4373</v>
      </c>
      <c r="F157" s="208"/>
      <c r="G157" s="209">
        <f>2437.3/1000</f>
        <v>2.4373</v>
      </c>
      <c r="H157" s="51">
        <f t="shared" ref="H157:H160" si="11">J157</f>
        <v>2.4373</v>
      </c>
      <c r="I157" s="192" t="s">
        <v>399</v>
      </c>
      <c r="J157" s="209">
        <f>2437.3/1000</f>
        <v>2.4373</v>
      </c>
    </row>
    <row r="158" spans="1:10" s="6" customFormat="1" ht="99.75" x14ac:dyDescent="0.25">
      <c r="A158" s="369"/>
      <c r="B158" s="50"/>
      <c r="C158" s="174"/>
      <c r="D158" s="51"/>
      <c r="E158" s="51">
        <f t="shared" si="7"/>
        <v>2.3384</v>
      </c>
      <c r="F158" s="208"/>
      <c r="G158" s="209">
        <f>2338.4/1000</f>
        <v>2.3384</v>
      </c>
      <c r="H158" s="51">
        <f t="shared" si="11"/>
        <v>2.3384</v>
      </c>
      <c r="I158" s="192" t="s">
        <v>398</v>
      </c>
      <c r="J158" s="209">
        <f>2338.4/1000</f>
        <v>2.3384</v>
      </c>
    </row>
    <row r="159" spans="1:10" s="6" customFormat="1" ht="20.25" customHeight="1" x14ac:dyDescent="0.25">
      <c r="A159" s="369"/>
      <c r="B159" s="50"/>
      <c r="C159" s="174"/>
      <c r="D159" s="51"/>
      <c r="E159" s="51">
        <f t="shared" si="7"/>
        <v>5.85182</v>
      </c>
      <c r="F159" s="208"/>
      <c r="G159" s="209">
        <v>5.85182</v>
      </c>
      <c r="H159" s="51">
        <f t="shared" si="11"/>
        <v>5.85182</v>
      </c>
      <c r="I159" s="501" t="s">
        <v>397</v>
      </c>
      <c r="J159" s="209">
        <f>5851.82/1000</f>
        <v>5.85182</v>
      </c>
    </row>
    <row r="160" spans="1:10" s="6" customFormat="1" ht="23.25" customHeight="1" thickBot="1" x14ac:dyDescent="0.3">
      <c r="A160" s="369"/>
      <c r="B160" s="133"/>
      <c r="C160" s="218"/>
      <c r="D160" s="212"/>
      <c r="E160" s="212">
        <f t="shared" si="7"/>
        <v>2.1</v>
      </c>
      <c r="F160" s="291"/>
      <c r="G160" s="211">
        <v>2.1</v>
      </c>
      <c r="H160" s="212">
        <f t="shared" si="11"/>
        <v>2.1</v>
      </c>
      <c r="I160" s="502"/>
      <c r="J160" s="211">
        <f>2100/1000</f>
        <v>2.1</v>
      </c>
    </row>
    <row r="161" spans="1:10" s="6" customFormat="1" ht="28.5" x14ac:dyDescent="0.25">
      <c r="A161" s="385" t="s">
        <v>68</v>
      </c>
      <c r="B161" s="438" t="s">
        <v>69</v>
      </c>
      <c r="C161" s="438" t="s">
        <v>70</v>
      </c>
      <c r="D161" s="438">
        <v>76117.5</v>
      </c>
      <c r="E161" s="420">
        <f>SUM(G161:G163)</f>
        <v>68500.004159999997</v>
      </c>
      <c r="F161" s="231" t="s">
        <v>71</v>
      </c>
      <c r="G161" s="236">
        <v>18686.76355</v>
      </c>
      <c r="H161" s="420">
        <f>SUM(J161:J163)</f>
        <v>14586.2296054</v>
      </c>
      <c r="I161" s="231" t="s">
        <v>72</v>
      </c>
      <c r="J161" s="246">
        <f>1581261.2*1.18/1000</f>
        <v>1865.8882159999998</v>
      </c>
    </row>
    <row r="162" spans="1:10" s="6" customFormat="1" ht="28.5" x14ac:dyDescent="0.25">
      <c r="A162" s="386"/>
      <c r="B162" s="364"/>
      <c r="C162" s="364"/>
      <c r="D162" s="364"/>
      <c r="E162" s="421"/>
      <c r="F162" s="214" t="s">
        <v>18</v>
      </c>
      <c r="G162" s="228" t="s">
        <v>18</v>
      </c>
      <c r="H162" s="421"/>
      <c r="I162" s="214" t="s">
        <v>73</v>
      </c>
      <c r="J162" s="247">
        <v>11356.159224999999</v>
      </c>
    </row>
    <row r="163" spans="1:10" s="6" customFormat="1" ht="28.5" x14ac:dyDescent="0.25">
      <c r="A163" s="386"/>
      <c r="B163" s="364"/>
      <c r="C163" s="364"/>
      <c r="D163" s="364"/>
      <c r="E163" s="421"/>
      <c r="F163" s="214" t="s">
        <v>193</v>
      </c>
      <c r="G163" s="228">
        <f>49813240.61/1000</f>
        <v>49813.240610000001</v>
      </c>
      <c r="H163" s="421"/>
      <c r="I163" s="214" t="s">
        <v>165</v>
      </c>
      <c r="J163" s="247">
        <f>(1156086.58/1000)*1.18</f>
        <v>1364.1821644000001</v>
      </c>
    </row>
    <row r="164" spans="1:10" s="6" customFormat="1" x14ac:dyDescent="0.25">
      <c r="A164" s="386"/>
      <c r="B164" s="364" t="s">
        <v>74</v>
      </c>
      <c r="C164" s="364"/>
      <c r="D164" s="214" t="s">
        <v>18</v>
      </c>
      <c r="E164" s="214" t="str">
        <f>G164</f>
        <v>__</v>
      </c>
      <c r="F164" s="214" t="s">
        <v>18</v>
      </c>
      <c r="G164" s="214" t="s">
        <v>18</v>
      </c>
      <c r="H164" s="228">
        <f>J164</f>
        <v>20560.291975</v>
      </c>
      <c r="I164" s="228" t="s">
        <v>18</v>
      </c>
      <c r="J164" s="247">
        <f>541.66779+19644.6171198+374.0070652</f>
        <v>20560.291975</v>
      </c>
    </row>
    <row r="165" spans="1:10" s="6" customFormat="1" ht="57.75" thickBot="1" x14ac:dyDescent="0.3">
      <c r="A165" s="387"/>
      <c r="B165" s="230" t="s">
        <v>167</v>
      </c>
      <c r="C165" s="230" t="s">
        <v>161</v>
      </c>
      <c r="D165" s="229">
        <v>99456.01</v>
      </c>
      <c r="E165" s="229">
        <f>G165</f>
        <v>99.45599</v>
      </c>
      <c r="F165" s="183" t="s">
        <v>175</v>
      </c>
      <c r="G165" s="229">
        <f>99455.99/1000</f>
        <v>99.45599</v>
      </c>
      <c r="H165" s="229">
        <f>J165</f>
        <v>99.455993199999995</v>
      </c>
      <c r="I165" s="183" t="s">
        <v>166</v>
      </c>
      <c r="J165" s="252">
        <f>(84284.74/1000)*1.18</f>
        <v>99.455993199999995</v>
      </c>
    </row>
    <row r="166" spans="1:10" s="6" customFormat="1" ht="28.5" x14ac:dyDescent="0.25">
      <c r="A166" s="369" t="s">
        <v>75</v>
      </c>
      <c r="B166" s="380" t="s">
        <v>76</v>
      </c>
      <c r="C166" s="380" t="s">
        <v>77</v>
      </c>
      <c r="D166" s="362">
        <f>1445500/1000</f>
        <v>1445.5</v>
      </c>
      <c r="E166" s="362">
        <f>SUM(G166:G167)</f>
        <v>671.73586</v>
      </c>
      <c r="F166" s="224" t="s">
        <v>78</v>
      </c>
      <c r="G166" s="222">
        <f>335867.93/1000</f>
        <v>335.86793</v>
      </c>
      <c r="H166" s="222">
        <f>SUM(J166:J166)</f>
        <v>0</v>
      </c>
      <c r="I166" s="224" t="s">
        <v>18</v>
      </c>
      <c r="J166" s="66" t="s">
        <v>18</v>
      </c>
    </row>
    <row r="167" spans="1:10" s="6" customFormat="1" ht="28.5" x14ac:dyDescent="0.25">
      <c r="A167" s="369"/>
      <c r="B167" s="366"/>
      <c r="C167" s="366"/>
      <c r="D167" s="363"/>
      <c r="E167" s="363"/>
      <c r="F167" s="136" t="s">
        <v>375</v>
      </c>
      <c r="G167" s="137">
        <f>335867.93/1000</f>
        <v>335.86793</v>
      </c>
      <c r="H167" s="121"/>
      <c r="I167" s="120"/>
      <c r="J167" s="66"/>
    </row>
    <row r="168" spans="1:10" s="6" customFormat="1" ht="42.75" x14ac:dyDescent="0.25">
      <c r="A168" s="369"/>
      <c r="B168" s="31" t="s">
        <v>219</v>
      </c>
      <c r="C168" s="31" t="s">
        <v>220</v>
      </c>
      <c r="D168" s="29">
        <f>2193887.84/1000</f>
        <v>2193.8878399999999</v>
      </c>
      <c r="E168" s="29">
        <f>SUM(G168:G168)</f>
        <v>2193.8878399999999</v>
      </c>
      <c r="F168" s="135" t="s">
        <v>374</v>
      </c>
      <c r="G168" s="131">
        <f>2193887.84/1000</f>
        <v>2193.8878399999999</v>
      </c>
      <c r="H168" s="29">
        <f>J168</f>
        <v>1504.7760137999999</v>
      </c>
      <c r="I168" s="28" t="s">
        <v>238</v>
      </c>
      <c r="J168" s="30">
        <v>1504.7760137999999</v>
      </c>
    </row>
    <row r="169" spans="1:10" s="6" customFormat="1" ht="28.5" x14ac:dyDescent="0.25">
      <c r="A169" s="369"/>
      <c r="B169" s="113" t="s">
        <v>219</v>
      </c>
      <c r="C169" s="113" t="s">
        <v>338</v>
      </c>
      <c r="D169" s="249">
        <f>122040.9/1000</f>
        <v>122.04089999999999</v>
      </c>
      <c r="E169" s="215"/>
      <c r="F169" s="214"/>
      <c r="G169" s="228"/>
      <c r="H169" s="215">
        <f>J169</f>
        <v>48.816364</v>
      </c>
      <c r="I169" s="261" t="s">
        <v>464</v>
      </c>
      <c r="J169" s="273">
        <f>48816.364/1000</f>
        <v>48.816364</v>
      </c>
    </row>
    <row r="170" spans="1:10" s="6" customFormat="1" ht="42.75" x14ac:dyDescent="0.25">
      <c r="A170" s="369"/>
      <c r="B170" s="31" t="s">
        <v>223</v>
      </c>
      <c r="C170" s="31" t="s">
        <v>224</v>
      </c>
      <c r="D170" s="29">
        <f>86009.11/1000</f>
        <v>86.009110000000007</v>
      </c>
      <c r="E170" s="29">
        <f t="shared" ref="E170" si="12">SUM(G170:G170)</f>
        <v>0</v>
      </c>
      <c r="F170" s="28"/>
      <c r="G170" s="29"/>
      <c r="H170" s="29">
        <f>J170</f>
        <v>86.009114399999987</v>
      </c>
      <c r="I170" s="28" t="s">
        <v>245</v>
      </c>
      <c r="J170" s="30">
        <v>86.009114399999987</v>
      </c>
    </row>
    <row r="171" spans="1:10" s="6" customFormat="1" ht="42.75" x14ac:dyDescent="0.25">
      <c r="A171" s="369"/>
      <c r="B171" s="31" t="s">
        <v>234</v>
      </c>
      <c r="C171" s="31" t="s">
        <v>235</v>
      </c>
      <c r="D171" s="29">
        <f>200000/1000</f>
        <v>200</v>
      </c>
      <c r="E171" s="29">
        <f>SUM(G171:G171)</f>
        <v>100</v>
      </c>
      <c r="F171" s="135" t="s">
        <v>373</v>
      </c>
      <c r="G171" s="131">
        <f>100000/1000</f>
        <v>100</v>
      </c>
      <c r="H171" s="29">
        <f>J171</f>
        <v>200</v>
      </c>
      <c r="I171" s="29" t="s">
        <v>296</v>
      </c>
      <c r="J171" s="30">
        <v>200</v>
      </c>
    </row>
    <row r="172" spans="1:10" s="6" customFormat="1" ht="42.75" x14ac:dyDescent="0.25">
      <c r="A172" s="369"/>
      <c r="B172" s="113" t="s">
        <v>463</v>
      </c>
      <c r="C172" s="113" t="s">
        <v>475</v>
      </c>
      <c r="D172" s="215">
        <f>253356.17/1000</f>
        <v>253.35617000000002</v>
      </c>
      <c r="E172" s="215">
        <f>SUM(G172:G172)</f>
        <v>253.35617000000002</v>
      </c>
      <c r="F172" s="154" t="s">
        <v>392</v>
      </c>
      <c r="G172" s="153">
        <f>253356.17/1000</f>
        <v>253.35617000000002</v>
      </c>
      <c r="H172" s="119"/>
      <c r="I172" s="119"/>
      <c r="J172" s="117"/>
    </row>
    <row r="173" spans="1:10" s="6" customFormat="1" ht="28.5" x14ac:dyDescent="0.25">
      <c r="A173" s="369"/>
      <c r="B173" s="31" t="s">
        <v>281</v>
      </c>
      <c r="C173" s="31" t="s">
        <v>282</v>
      </c>
      <c r="D173" s="29">
        <f>345834.18/1000</f>
        <v>345.83418</v>
      </c>
      <c r="E173" s="29">
        <f>SUM(G173:G173)</f>
        <v>345.83418</v>
      </c>
      <c r="F173" s="28" t="s">
        <v>283</v>
      </c>
      <c r="G173" s="29">
        <v>345.83418</v>
      </c>
      <c r="H173" s="29"/>
      <c r="I173" s="28"/>
      <c r="J173" s="30"/>
    </row>
    <row r="174" spans="1:10" s="6" customFormat="1" ht="28.5" x14ac:dyDescent="0.25">
      <c r="A174" s="369"/>
      <c r="B174" s="31" t="s">
        <v>284</v>
      </c>
      <c r="C174" s="31" t="s">
        <v>285</v>
      </c>
      <c r="D174" s="29">
        <f>358920/1000</f>
        <v>358.92</v>
      </c>
      <c r="E174" s="29">
        <f>SUM(G174:G174)</f>
        <v>358.92</v>
      </c>
      <c r="F174" s="28" t="s">
        <v>286</v>
      </c>
      <c r="G174" s="29">
        <v>358.92</v>
      </c>
      <c r="H174" s="29"/>
      <c r="I174" s="28"/>
      <c r="J174" s="30"/>
    </row>
    <row r="175" spans="1:10" s="6" customFormat="1" ht="28.5" x14ac:dyDescent="0.25">
      <c r="A175" s="369"/>
      <c r="B175" s="108" t="s">
        <v>324</v>
      </c>
      <c r="C175" s="108" t="s">
        <v>323</v>
      </c>
      <c r="D175" s="109">
        <f>4477500/1000</f>
        <v>4477.5</v>
      </c>
      <c r="E175" s="109">
        <f t="shared" ref="E175:E198" si="13">G175</f>
        <v>431.04002000000003</v>
      </c>
      <c r="F175" s="110" t="s">
        <v>325</v>
      </c>
      <c r="G175" s="109">
        <f>431040.02/1000</f>
        <v>431.04002000000003</v>
      </c>
      <c r="H175" s="256">
        <f t="shared" ref="H175:H190" si="14">J175</f>
        <v>431.04001699999998</v>
      </c>
      <c r="I175" s="254" t="s">
        <v>436</v>
      </c>
      <c r="J175" s="257">
        <v>431.04001699999998</v>
      </c>
    </row>
    <row r="176" spans="1:10" s="1" customFormat="1" ht="28.5" x14ac:dyDescent="0.25">
      <c r="A176" s="369"/>
      <c r="B176" s="218"/>
      <c r="C176" s="218"/>
      <c r="D176" s="232"/>
      <c r="E176" s="232"/>
      <c r="F176" s="233"/>
      <c r="G176" s="232"/>
      <c r="H176" s="226">
        <f t="shared" si="14"/>
        <v>235.68648579999999</v>
      </c>
      <c r="I176" s="189" t="s">
        <v>467</v>
      </c>
      <c r="J176" s="270">
        <f>235686.4858/1000</f>
        <v>235.68648579999999</v>
      </c>
    </row>
    <row r="177" spans="1:10" s="1" customFormat="1" ht="28.5" x14ac:dyDescent="0.25">
      <c r="A177" s="369"/>
      <c r="B177" s="218"/>
      <c r="C177" s="218"/>
      <c r="D177" s="232"/>
      <c r="E177" s="232"/>
      <c r="F177" s="233"/>
      <c r="G177" s="232"/>
      <c r="H177" s="226">
        <f t="shared" si="14"/>
        <v>1626.2579578</v>
      </c>
      <c r="I177" s="189" t="s">
        <v>474</v>
      </c>
      <c r="J177" s="270">
        <f>1626257.9578/1000</f>
        <v>1626.2579578</v>
      </c>
    </row>
    <row r="178" spans="1:10" s="6" customFormat="1" ht="42.75" x14ac:dyDescent="0.25">
      <c r="A178" s="369"/>
      <c r="B178" s="108" t="s">
        <v>327</v>
      </c>
      <c r="C178" s="108" t="s">
        <v>326</v>
      </c>
      <c r="D178" s="109">
        <f>6585309/1000</f>
        <v>6585.3090000000002</v>
      </c>
      <c r="E178" s="109">
        <f t="shared" si="13"/>
        <v>647.75118999999995</v>
      </c>
      <c r="F178" s="110" t="s">
        <v>328</v>
      </c>
      <c r="G178" s="109">
        <f>647751.19/1000</f>
        <v>647.75118999999995</v>
      </c>
      <c r="H178" s="256">
        <f t="shared" si="14"/>
        <v>647.75119419999999</v>
      </c>
      <c r="I178" s="254" t="s">
        <v>435</v>
      </c>
      <c r="J178" s="257">
        <f>647751.1942/1000</f>
        <v>647.75119419999999</v>
      </c>
    </row>
    <row r="179" spans="1:10" s="1" customFormat="1" ht="28.5" x14ac:dyDescent="0.25">
      <c r="A179" s="369"/>
      <c r="B179" s="218"/>
      <c r="C179" s="218"/>
      <c r="D179" s="232"/>
      <c r="E179" s="232"/>
      <c r="F179" s="233"/>
      <c r="G179" s="232"/>
      <c r="H179" s="226">
        <f t="shared" si="14"/>
        <v>1346.8377809999999</v>
      </c>
      <c r="I179" s="189" t="s">
        <v>454</v>
      </c>
      <c r="J179" s="270">
        <f>1346837.781/1000</f>
        <v>1346.8377809999999</v>
      </c>
    </row>
    <row r="180" spans="1:10" s="1" customFormat="1" ht="28.5" x14ac:dyDescent="0.25">
      <c r="A180" s="369"/>
      <c r="B180" s="218"/>
      <c r="C180" s="218"/>
      <c r="D180" s="232"/>
      <c r="E180" s="232"/>
      <c r="F180" s="233"/>
      <c r="G180" s="232"/>
      <c r="H180" s="226">
        <f t="shared" si="14"/>
        <v>26.648081600000001</v>
      </c>
      <c r="I180" s="189" t="s">
        <v>482</v>
      </c>
      <c r="J180" s="270">
        <f>26648.0816/1000</f>
        <v>26.648081600000001</v>
      </c>
    </row>
    <row r="181" spans="1:10" s="1" customFormat="1" ht="28.5" x14ac:dyDescent="0.25">
      <c r="A181" s="369"/>
      <c r="B181" s="218"/>
      <c r="C181" s="218"/>
      <c r="D181" s="232"/>
      <c r="E181" s="232"/>
      <c r="F181" s="233"/>
      <c r="G181" s="232"/>
      <c r="H181" s="226">
        <f t="shared" si="14"/>
        <v>114.4530852</v>
      </c>
      <c r="I181" s="189" t="s">
        <v>483</v>
      </c>
      <c r="J181" s="270">
        <f>114453.0852/1000</f>
        <v>114.4530852</v>
      </c>
    </row>
    <row r="182" spans="1:10" s="6" customFormat="1" ht="57" customHeight="1" x14ac:dyDescent="0.25">
      <c r="A182" s="369"/>
      <c r="B182" s="483" t="s">
        <v>327</v>
      </c>
      <c r="C182" s="483" t="s">
        <v>329</v>
      </c>
      <c r="D182" s="483">
        <f>6188666.61/1000</f>
        <v>6188.6666100000002</v>
      </c>
      <c r="E182" s="483">
        <f t="shared" si="13"/>
        <v>536.0761</v>
      </c>
      <c r="F182" s="110" t="s">
        <v>330</v>
      </c>
      <c r="G182" s="109">
        <f>536076.1/1000</f>
        <v>536.0761</v>
      </c>
      <c r="H182" s="256">
        <f t="shared" si="14"/>
        <v>536.07610039999997</v>
      </c>
      <c r="I182" s="254" t="s">
        <v>434</v>
      </c>
      <c r="J182" s="257">
        <f>536076.1004/1000</f>
        <v>536.07610039999997</v>
      </c>
    </row>
    <row r="183" spans="1:10" s="1" customFormat="1" ht="28.5" x14ac:dyDescent="0.25">
      <c r="A183" s="369"/>
      <c r="B183" s="485"/>
      <c r="C183" s="485"/>
      <c r="D183" s="485"/>
      <c r="E183" s="485"/>
      <c r="F183" s="233"/>
      <c r="G183" s="232"/>
      <c r="H183" s="226">
        <f t="shared" si="14"/>
        <v>197.02563839999999</v>
      </c>
      <c r="I183" s="189" t="s">
        <v>451</v>
      </c>
      <c r="J183" s="270">
        <f>197025.6384/1000</f>
        <v>197.02563839999999</v>
      </c>
    </row>
    <row r="184" spans="1:10" s="1" customFormat="1" ht="28.5" x14ac:dyDescent="0.25">
      <c r="A184" s="369"/>
      <c r="B184" s="219"/>
      <c r="C184" s="219"/>
      <c r="D184" s="219"/>
      <c r="E184" s="219"/>
      <c r="F184" s="233"/>
      <c r="G184" s="232"/>
      <c r="H184" s="226">
        <f t="shared" si="14"/>
        <v>87.41128479999999</v>
      </c>
      <c r="I184" s="189" t="s">
        <v>456</v>
      </c>
      <c r="J184" s="270">
        <f>87411.2848/1000</f>
        <v>87.41128479999999</v>
      </c>
    </row>
    <row r="185" spans="1:10" s="1" customFormat="1" ht="28.5" x14ac:dyDescent="0.25">
      <c r="A185" s="369"/>
      <c r="B185" s="219"/>
      <c r="C185" s="219"/>
      <c r="D185" s="219"/>
      <c r="E185" s="219"/>
      <c r="F185" s="233"/>
      <c r="G185" s="232"/>
      <c r="H185" s="226">
        <f t="shared" si="14"/>
        <v>2026.8283216</v>
      </c>
      <c r="I185" s="189" t="s">
        <v>457</v>
      </c>
      <c r="J185" s="270">
        <f>2026828.3216/1000</f>
        <v>2026.8283216</v>
      </c>
    </row>
    <row r="186" spans="1:10" s="6" customFormat="1" ht="57.75" customHeight="1" thickBot="1" x14ac:dyDescent="0.3">
      <c r="A186" s="370"/>
      <c r="B186" s="108" t="s">
        <v>327</v>
      </c>
      <c r="C186" s="108" t="s">
        <v>331</v>
      </c>
      <c r="D186" s="109">
        <f>3210937.42/1000</f>
        <v>3210.9374199999997</v>
      </c>
      <c r="E186" s="109">
        <f t="shared" si="13"/>
        <v>221.35526999999999</v>
      </c>
      <c r="F186" s="110" t="s">
        <v>332</v>
      </c>
      <c r="G186" s="109">
        <f>221355.27/1000</f>
        <v>221.35526999999999</v>
      </c>
      <c r="H186" s="256">
        <f t="shared" si="14"/>
        <v>221.35526780000001</v>
      </c>
      <c r="I186" s="254" t="s">
        <v>433</v>
      </c>
      <c r="J186" s="257">
        <f>221355.2678/1000</f>
        <v>221.35526780000001</v>
      </c>
    </row>
    <row r="187" spans="1:10" s="1" customFormat="1" ht="57.75" customHeight="1" x14ac:dyDescent="0.25">
      <c r="A187" s="216"/>
      <c r="B187" s="218"/>
      <c r="C187" s="218"/>
      <c r="D187" s="232"/>
      <c r="E187" s="232"/>
      <c r="F187" s="233"/>
      <c r="G187" s="232"/>
      <c r="H187" s="226">
        <f t="shared" si="14"/>
        <v>1832.6509672</v>
      </c>
      <c r="I187" s="189" t="s">
        <v>452</v>
      </c>
      <c r="J187" s="258">
        <f>1832650.9672/1000</f>
        <v>1832.6509672</v>
      </c>
    </row>
    <row r="188" spans="1:10" s="1" customFormat="1" ht="57.75" customHeight="1" x14ac:dyDescent="0.25">
      <c r="A188" s="216"/>
      <c r="B188" s="218"/>
      <c r="C188" s="218"/>
      <c r="D188" s="232"/>
      <c r="E188" s="232"/>
      <c r="F188" s="233"/>
      <c r="G188" s="232"/>
      <c r="H188" s="226">
        <f t="shared" si="14"/>
        <v>283.15186779999999</v>
      </c>
      <c r="I188" s="189" t="s">
        <v>455</v>
      </c>
      <c r="J188" s="258">
        <f>283151.8678/1000</f>
        <v>283.15186779999999</v>
      </c>
    </row>
    <row r="189" spans="1:10" s="1" customFormat="1" ht="57.75" customHeight="1" x14ac:dyDescent="0.25">
      <c r="A189" s="216"/>
      <c r="B189" s="483" t="s">
        <v>327</v>
      </c>
      <c r="C189" s="271" t="s">
        <v>458</v>
      </c>
      <c r="D189" s="263">
        <f>3037271.3/1000</f>
        <v>3037.2712999999999</v>
      </c>
      <c r="E189" s="232">
        <f>G189</f>
        <v>0</v>
      </c>
      <c r="F189" s="233"/>
      <c r="G189" s="232"/>
      <c r="H189" s="226">
        <f t="shared" si="14"/>
        <v>631.0779475999999</v>
      </c>
      <c r="I189" s="189" t="s">
        <v>459</v>
      </c>
      <c r="J189" s="258">
        <f>631077.9476/1000</f>
        <v>631.0779475999999</v>
      </c>
    </row>
    <row r="190" spans="1:10" s="1" customFormat="1" ht="57.75" customHeight="1" x14ac:dyDescent="0.25">
      <c r="A190" s="216"/>
      <c r="B190" s="485"/>
      <c r="C190" s="218"/>
      <c r="D190" s="232"/>
      <c r="E190" s="232"/>
      <c r="F190" s="233"/>
      <c r="G190" s="232"/>
      <c r="H190" s="226">
        <f t="shared" si="14"/>
        <v>1766.3474988</v>
      </c>
      <c r="I190" s="189" t="s">
        <v>460</v>
      </c>
      <c r="J190" s="258">
        <f>1766347.4988/1000</f>
        <v>1766.3474988</v>
      </c>
    </row>
    <row r="191" spans="1:10" s="1" customFormat="1" ht="57.75" customHeight="1" x14ac:dyDescent="0.25">
      <c r="A191" s="216"/>
      <c r="B191" s="218"/>
      <c r="C191" s="218"/>
      <c r="D191" s="232"/>
      <c r="E191" s="232"/>
      <c r="F191" s="233"/>
      <c r="G191" s="232"/>
      <c r="H191" s="232"/>
      <c r="I191" s="233"/>
      <c r="J191" s="107"/>
    </row>
    <row r="192" spans="1:10" s="6" customFormat="1" ht="28.5" x14ac:dyDescent="0.25">
      <c r="A192" s="99"/>
      <c r="B192" s="108" t="s">
        <v>333</v>
      </c>
      <c r="C192" s="108" t="s">
        <v>334</v>
      </c>
      <c r="D192" s="109">
        <f>5559050/1000</f>
        <v>5559.05</v>
      </c>
      <c r="E192" s="109">
        <f t="shared" si="13"/>
        <v>873.47049000000004</v>
      </c>
      <c r="F192" s="110" t="s">
        <v>335</v>
      </c>
      <c r="G192" s="109">
        <f>873470.49/1000</f>
        <v>873.47049000000004</v>
      </c>
      <c r="H192" s="256">
        <f>J192</f>
        <v>873.47049140000001</v>
      </c>
      <c r="I192" s="254" t="s">
        <v>438</v>
      </c>
      <c r="J192" s="255">
        <f>873470.4914/1000</f>
        <v>873.47049140000001</v>
      </c>
    </row>
    <row r="193" spans="1:10" s="1" customFormat="1" ht="28.5" x14ac:dyDescent="0.25">
      <c r="A193" s="216"/>
      <c r="B193" s="218"/>
      <c r="C193" s="218"/>
      <c r="D193" s="232"/>
      <c r="E193" s="232"/>
      <c r="F193" s="233"/>
      <c r="G193" s="232"/>
      <c r="H193" s="226">
        <f>J193</f>
        <v>2495.9578654000002</v>
      </c>
      <c r="I193" s="189" t="s">
        <v>461</v>
      </c>
      <c r="J193" s="258">
        <f>2495957.8654/1000</f>
        <v>2495.9578654000002</v>
      </c>
    </row>
    <row r="194" spans="1:10" s="6" customFormat="1" ht="28.5" x14ac:dyDescent="0.25">
      <c r="A194" s="99"/>
      <c r="B194" s="108" t="s">
        <v>333</v>
      </c>
      <c r="C194" s="108" t="s">
        <v>336</v>
      </c>
      <c r="D194" s="109">
        <f>4018319/1000</f>
        <v>4018.319</v>
      </c>
      <c r="E194" s="109">
        <f t="shared" si="13"/>
        <v>245.58645000000001</v>
      </c>
      <c r="F194" s="110" t="s">
        <v>337</v>
      </c>
      <c r="G194" s="109">
        <f>245586.45/1000</f>
        <v>245.58645000000001</v>
      </c>
      <c r="H194" s="256">
        <f>J194</f>
        <v>245.5864498</v>
      </c>
      <c r="I194" s="254" t="s">
        <v>437</v>
      </c>
      <c r="J194" s="255">
        <f>245586.4498/1000</f>
        <v>245.5864498</v>
      </c>
    </row>
    <row r="195" spans="1:10" s="1" customFormat="1" ht="28.5" x14ac:dyDescent="0.25">
      <c r="A195" s="216"/>
      <c r="B195" s="218"/>
      <c r="C195" s="218"/>
      <c r="D195" s="232"/>
      <c r="E195" s="232"/>
      <c r="F195" s="233"/>
      <c r="G195" s="232"/>
      <c r="H195" s="226">
        <f>J195</f>
        <v>2430.8543743999999</v>
      </c>
      <c r="I195" s="189" t="s">
        <v>453</v>
      </c>
      <c r="J195" s="258">
        <f>2430854.3744/1000</f>
        <v>2430.8543743999999</v>
      </c>
    </row>
    <row r="196" spans="1:10" s="6" customFormat="1" ht="28.5" x14ac:dyDescent="0.25">
      <c r="A196" s="99"/>
      <c r="B196" s="108" t="s">
        <v>339</v>
      </c>
      <c r="C196" s="108" t="s">
        <v>338</v>
      </c>
      <c r="D196" s="109">
        <f>122040.9/1000</f>
        <v>122.04089999999999</v>
      </c>
      <c r="E196" s="109">
        <f t="shared" si="13"/>
        <v>48.816360000000003</v>
      </c>
      <c r="F196" s="110" t="s">
        <v>340</v>
      </c>
      <c r="G196" s="109">
        <f>48816.36/1000</f>
        <v>48.816360000000003</v>
      </c>
      <c r="H196" s="263">
        <f>J196</f>
        <v>48.816364</v>
      </c>
      <c r="I196" s="266" t="s">
        <v>445</v>
      </c>
      <c r="J196" s="264">
        <f>48816.364/1000</f>
        <v>48.816364</v>
      </c>
    </row>
    <row r="197" spans="1:10" s="6" customFormat="1" ht="42.75" x14ac:dyDescent="0.25">
      <c r="A197" s="99"/>
      <c r="B197" s="108" t="s">
        <v>341</v>
      </c>
      <c r="C197" s="108" t="s">
        <v>342</v>
      </c>
      <c r="D197" s="109">
        <f>502248/1000</f>
        <v>502.24799999999999</v>
      </c>
      <c r="E197" s="109">
        <f t="shared" si="13"/>
        <v>502.24799999999999</v>
      </c>
      <c r="F197" s="110" t="s">
        <v>343</v>
      </c>
      <c r="G197" s="109">
        <f>502248/1000</f>
        <v>502.24799999999999</v>
      </c>
      <c r="H197" s="89"/>
      <c r="I197" s="92"/>
      <c r="J197" s="107"/>
    </row>
    <row r="198" spans="1:10" s="6" customFormat="1" ht="28.5" x14ac:dyDescent="0.25">
      <c r="A198" s="99"/>
      <c r="B198" s="108" t="s">
        <v>346</v>
      </c>
      <c r="C198" s="108" t="s">
        <v>345</v>
      </c>
      <c r="D198" s="109">
        <f>2392346/1000</f>
        <v>2392.346</v>
      </c>
      <c r="E198" s="109">
        <f t="shared" si="13"/>
        <v>299.08600000000001</v>
      </c>
      <c r="F198" s="110" t="s">
        <v>344</v>
      </c>
      <c r="G198" s="109">
        <f>299086/1000</f>
        <v>299.08600000000001</v>
      </c>
      <c r="H198" s="89"/>
      <c r="I198" s="92"/>
      <c r="J198" s="107"/>
    </row>
    <row r="199" spans="1:10" s="6" customFormat="1" ht="28.5" x14ac:dyDescent="0.25">
      <c r="A199" s="216"/>
      <c r="B199" s="239" t="s">
        <v>476</v>
      </c>
      <c r="C199" s="239" t="s">
        <v>477</v>
      </c>
      <c r="D199" s="237">
        <f>3417825/1000</f>
        <v>3417.8249999999998</v>
      </c>
      <c r="E199" s="237"/>
      <c r="F199" s="110"/>
      <c r="G199" s="237"/>
      <c r="H199" s="226">
        <f t="shared" ref="H199:H206" si="15">J199</f>
        <v>1010.784047</v>
      </c>
      <c r="I199" s="189" t="s">
        <v>478</v>
      </c>
      <c r="J199" s="258">
        <f>1010784.047/1000</f>
        <v>1010.784047</v>
      </c>
    </row>
    <row r="200" spans="1:10" s="6" customFormat="1" ht="28.5" x14ac:dyDescent="0.25">
      <c r="A200" s="216"/>
      <c r="B200" s="239"/>
      <c r="C200" s="239"/>
      <c r="D200" s="237"/>
      <c r="E200" s="237"/>
      <c r="F200" s="110"/>
      <c r="G200" s="237"/>
      <c r="H200" s="226">
        <f t="shared" si="15"/>
        <v>1301.5933832000001</v>
      </c>
      <c r="I200" s="189" t="s">
        <v>472</v>
      </c>
      <c r="J200" s="258">
        <f>1301593.3832/1000</f>
        <v>1301.5933832000001</v>
      </c>
    </row>
    <row r="201" spans="1:10" s="6" customFormat="1" ht="28.5" x14ac:dyDescent="0.25">
      <c r="A201" s="216"/>
      <c r="B201" s="239" t="s">
        <v>501</v>
      </c>
      <c r="C201" s="239" t="s">
        <v>500</v>
      </c>
      <c r="D201" s="237">
        <f>6102267.2/1000</f>
        <v>6102.2672000000002</v>
      </c>
      <c r="E201" s="237"/>
      <c r="F201" s="110"/>
      <c r="G201" s="237"/>
      <c r="H201" s="226">
        <f t="shared" si="15"/>
        <v>1095.7199986000001</v>
      </c>
      <c r="I201" s="189" t="s">
        <v>508</v>
      </c>
      <c r="J201" s="258">
        <f>1095719.9986/1000</f>
        <v>1095.7199986000001</v>
      </c>
    </row>
    <row r="202" spans="1:10" s="6" customFormat="1" ht="28.5" x14ac:dyDescent="0.25">
      <c r="A202" s="216"/>
      <c r="B202" s="239"/>
      <c r="C202" s="239"/>
      <c r="D202" s="237"/>
      <c r="E202" s="237"/>
      <c r="F202" s="110"/>
      <c r="G202" s="237"/>
      <c r="H202" s="226">
        <f t="shared" si="15"/>
        <v>2114.0671966</v>
      </c>
      <c r="I202" s="189" t="s">
        <v>507</v>
      </c>
      <c r="J202" s="258">
        <f>2114067.1966/1000</f>
        <v>2114.0671966</v>
      </c>
    </row>
    <row r="203" spans="1:10" s="6" customFormat="1" ht="28.5" x14ac:dyDescent="0.25">
      <c r="A203" s="216"/>
      <c r="B203" s="239" t="s">
        <v>511</v>
      </c>
      <c r="C203" s="239" t="s">
        <v>510</v>
      </c>
      <c r="D203" s="237">
        <f>3468000/1000</f>
        <v>3468</v>
      </c>
      <c r="E203" s="237"/>
      <c r="F203" s="110"/>
      <c r="G203" s="237"/>
      <c r="H203" s="226">
        <f t="shared" si="15"/>
        <v>634.00000520000003</v>
      </c>
      <c r="I203" s="189" t="s">
        <v>512</v>
      </c>
      <c r="J203" s="258">
        <f>634000.0052/1000</f>
        <v>634.00000520000003</v>
      </c>
    </row>
    <row r="204" spans="1:10" s="6" customFormat="1" ht="28.5" x14ac:dyDescent="0.25">
      <c r="A204" s="216"/>
      <c r="B204" s="239"/>
      <c r="C204" s="239"/>
      <c r="D204" s="237"/>
      <c r="E204" s="237"/>
      <c r="F204" s="110"/>
      <c r="G204" s="237"/>
      <c r="H204" s="226">
        <f t="shared" si="15"/>
        <v>1059.9999943999999</v>
      </c>
      <c r="I204" s="189" t="s">
        <v>512</v>
      </c>
      <c r="J204" s="258">
        <f>1059999.9944/1000</f>
        <v>1059.9999943999999</v>
      </c>
    </row>
    <row r="205" spans="1:10" s="6" customFormat="1" ht="28.5" x14ac:dyDescent="0.25">
      <c r="A205" s="99"/>
      <c r="B205" s="91" t="s">
        <v>232</v>
      </c>
      <c r="C205" s="91" t="s">
        <v>233</v>
      </c>
      <c r="D205" s="89"/>
      <c r="E205" s="89">
        <f>SUM(G205:G205)</f>
        <v>108.9639494</v>
      </c>
      <c r="F205" s="92" t="s">
        <v>297</v>
      </c>
      <c r="G205" s="89">
        <v>108.9639494</v>
      </c>
      <c r="H205" s="89">
        <f t="shared" si="15"/>
        <v>173.14540020000001</v>
      </c>
      <c r="I205" s="233" t="s">
        <v>513</v>
      </c>
      <c r="J205" s="107">
        <f>173145.4002/1000</f>
        <v>173.14540020000001</v>
      </c>
    </row>
    <row r="206" spans="1:10" s="6" customFormat="1" ht="28.5" x14ac:dyDescent="0.25">
      <c r="A206" s="216"/>
      <c r="B206" s="218"/>
      <c r="C206" s="218"/>
      <c r="D206" s="295"/>
      <c r="E206" s="232"/>
      <c r="F206" s="233"/>
      <c r="G206" s="232"/>
      <c r="H206" s="232">
        <f t="shared" si="15"/>
        <v>289.48600160000001</v>
      </c>
      <c r="I206" s="233" t="s">
        <v>513</v>
      </c>
      <c r="J206" s="107">
        <f>289486.0016/1000</f>
        <v>289.48600160000001</v>
      </c>
    </row>
    <row r="207" spans="1:10" s="6" customFormat="1" ht="28.5" x14ac:dyDescent="0.25">
      <c r="A207" s="166"/>
      <c r="B207" s="186" t="s">
        <v>232</v>
      </c>
      <c r="C207" s="186" t="s">
        <v>233</v>
      </c>
      <c r="D207" s="187"/>
      <c r="E207" s="188">
        <f>SUM(G207:G207)</f>
        <v>1019.3761108</v>
      </c>
      <c r="F207" s="189" t="s">
        <v>403</v>
      </c>
      <c r="G207" s="188">
        <f>863878.06*1.18/1000</f>
        <v>1019.3761108</v>
      </c>
      <c r="H207" s="169">
        <f t="shared" ref="H207:H211" si="16">J207</f>
        <v>2.5431360000000001</v>
      </c>
      <c r="I207" s="233" t="s">
        <v>481</v>
      </c>
      <c r="J207" s="107">
        <f>2543.136/1000</f>
        <v>2.5431360000000001</v>
      </c>
    </row>
    <row r="208" spans="1:10" s="6" customFormat="1" ht="28.5" x14ac:dyDescent="0.25">
      <c r="A208" s="216"/>
      <c r="B208" s="292"/>
      <c r="C208" s="293"/>
      <c r="D208" s="187"/>
      <c r="E208" s="226"/>
      <c r="F208" s="189"/>
      <c r="G208" s="258"/>
      <c r="H208" s="226">
        <f>J208</f>
        <v>139.92344420000001</v>
      </c>
      <c r="I208" s="189" t="s">
        <v>502</v>
      </c>
      <c r="J208" s="258">
        <f>139923.4442/1000</f>
        <v>139.92344420000001</v>
      </c>
    </row>
    <row r="209" spans="1:10" s="6" customFormat="1" ht="28.5" x14ac:dyDescent="0.25">
      <c r="A209" s="216"/>
      <c r="B209" s="292"/>
      <c r="C209" s="293"/>
      <c r="D209" s="187"/>
      <c r="E209" s="226"/>
      <c r="F209" s="189"/>
      <c r="G209" s="258"/>
      <c r="H209" s="226">
        <f>J209</f>
        <v>269.96638260000003</v>
      </c>
      <c r="I209" s="189" t="s">
        <v>509</v>
      </c>
      <c r="J209" s="258">
        <f>269966.3826/1000</f>
        <v>269.96638260000003</v>
      </c>
    </row>
    <row r="210" spans="1:10" s="6" customFormat="1" ht="28.15" customHeight="1" x14ac:dyDescent="0.25">
      <c r="A210" s="116"/>
      <c r="B210" s="493" t="s">
        <v>395</v>
      </c>
      <c r="C210" s="494"/>
      <c r="D210" s="495"/>
      <c r="E210" s="160"/>
      <c r="F210" s="159"/>
      <c r="G210" s="164"/>
      <c r="H210" s="160">
        <f t="shared" si="16"/>
        <v>1099.7328009999999</v>
      </c>
      <c r="I210" s="159"/>
      <c r="J210" s="164">
        <f>1099732.801/1000</f>
        <v>1099.7328009999999</v>
      </c>
    </row>
    <row r="211" spans="1:10" s="6" customFormat="1" ht="28.15" customHeight="1" thickBot="1" x14ac:dyDescent="0.3">
      <c r="A211" s="216"/>
      <c r="B211" s="493" t="s">
        <v>484</v>
      </c>
      <c r="C211" s="494"/>
      <c r="D211" s="495"/>
      <c r="E211" s="160"/>
      <c r="F211" s="159"/>
      <c r="G211" s="164"/>
      <c r="H211" s="160">
        <f t="shared" si="16"/>
        <v>7837.8547403999992</v>
      </c>
      <c r="I211" s="159"/>
      <c r="J211" s="164">
        <f>7837854.7404/1000</f>
        <v>7837.8547403999992</v>
      </c>
    </row>
    <row r="212" spans="1:10" s="6" customFormat="1" ht="28.5" customHeight="1" x14ac:dyDescent="0.25">
      <c r="A212" s="506" t="s">
        <v>314</v>
      </c>
      <c r="B212" s="483" t="s">
        <v>316</v>
      </c>
      <c r="C212" s="483" t="s">
        <v>315</v>
      </c>
      <c r="D212" s="486">
        <f>20211000/1000</f>
        <v>20211</v>
      </c>
      <c r="E212" s="486">
        <f>G212+G213+G214</f>
        <v>6501.286039999999</v>
      </c>
      <c r="F212" s="106" t="s">
        <v>318</v>
      </c>
      <c r="G212" s="105">
        <f>4687617.85/1000</f>
        <v>4687.6178499999996</v>
      </c>
      <c r="H212" s="489">
        <f>J212+J213+J214</f>
        <v>13191.359511399998</v>
      </c>
      <c r="I212" s="210" t="s">
        <v>423</v>
      </c>
      <c r="J212" s="191">
        <f>4687617.85/1000</f>
        <v>4687.6178499999996</v>
      </c>
    </row>
    <row r="213" spans="1:10" s="6" customFormat="1" ht="28.5" x14ac:dyDescent="0.25">
      <c r="A213" s="507"/>
      <c r="B213" s="484"/>
      <c r="C213" s="484"/>
      <c r="D213" s="487"/>
      <c r="E213" s="487"/>
      <c r="F213" s="106" t="s">
        <v>317</v>
      </c>
      <c r="G213" s="105">
        <f>1813668.19/1000</f>
        <v>1813.6681899999999</v>
      </c>
      <c r="H213" s="490"/>
      <c r="I213" s="210" t="s">
        <v>430</v>
      </c>
      <c r="J213" s="191">
        <f>1813668.1892/1000</f>
        <v>1813.6681891999999</v>
      </c>
    </row>
    <row r="214" spans="1:10" s="6" customFormat="1" ht="28.5" x14ac:dyDescent="0.25">
      <c r="A214" s="507"/>
      <c r="B214" s="485"/>
      <c r="C214" s="484"/>
      <c r="D214" s="487"/>
      <c r="E214" s="488"/>
      <c r="F214" s="102"/>
      <c r="G214" s="238"/>
      <c r="H214" s="490"/>
      <c r="I214" s="190" t="s">
        <v>462</v>
      </c>
      <c r="J214" s="294">
        <f>6690073.4722/1000</f>
        <v>6690.0734721999997</v>
      </c>
    </row>
    <row r="215" spans="1:10" s="1" customFormat="1" ht="28.5" x14ac:dyDescent="0.25">
      <c r="A215" s="507"/>
      <c r="B215" s="239" t="s">
        <v>501</v>
      </c>
      <c r="C215" s="219" t="s">
        <v>503</v>
      </c>
      <c r="D215" s="94">
        <f>2365450/1000</f>
        <v>2365.4499999999998</v>
      </c>
      <c r="E215" s="228"/>
      <c r="F215" s="234"/>
      <c r="G215" s="94"/>
      <c r="H215" s="94">
        <f>J215</f>
        <v>508.75999719999999</v>
      </c>
      <c r="I215" s="234" t="s">
        <v>504</v>
      </c>
      <c r="J215" s="272">
        <f>508759.9972/1000</f>
        <v>508.75999719999999</v>
      </c>
    </row>
    <row r="216" spans="1:10" s="1" customFormat="1" ht="29.25" customHeight="1" x14ac:dyDescent="0.25">
      <c r="A216" s="507"/>
      <c r="B216" s="240"/>
      <c r="C216" s="219"/>
      <c r="D216" s="94"/>
      <c r="E216" s="228"/>
      <c r="F216" s="234"/>
      <c r="G216" s="94"/>
      <c r="H216" s="227">
        <f>J216</f>
        <v>944.8399948</v>
      </c>
      <c r="I216" s="190" t="s">
        <v>506</v>
      </c>
      <c r="J216" s="294">
        <f>944839.9948/1000</f>
        <v>944.8399948</v>
      </c>
    </row>
    <row r="217" spans="1:10" s="1" customFormat="1" x14ac:dyDescent="0.25">
      <c r="A217" s="507"/>
      <c r="B217" s="240"/>
      <c r="C217" s="219"/>
      <c r="D217" s="94"/>
      <c r="E217" s="228"/>
      <c r="F217" s="234"/>
      <c r="G217" s="94"/>
      <c r="H217" s="94"/>
      <c r="I217" s="234"/>
      <c r="J217" s="272"/>
    </row>
    <row r="218" spans="1:10" s="1" customFormat="1" x14ac:dyDescent="0.25">
      <c r="A218" s="507"/>
      <c r="B218" s="240"/>
      <c r="C218" s="219"/>
      <c r="D218" s="94"/>
      <c r="E218" s="228"/>
      <c r="F218" s="234"/>
      <c r="G218" s="94"/>
      <c r="H218" s="94"/>
      <c r="I218" s="234"/>
      <c r="J218" s="272"/>
    </row>
    <row r="219" spans="1:10" s="6" customFormat="1" ht="32.25" customHeight="1" x14ac:dyDescent="0.25">
      <c r="A219" s="507"/>
      <c r="B219" s="104" t="s">
        <v>359</v>
      </c>
      <c r="C219" s="100" t="s">
        <v>358</v>
      </c>
      <c r="D219" s="101">
        <f>1057770.72/1000</f>
        <v>1057.77072</v>
      </c>
      <c r="E219" s="105">
        <f>G219</f>
        <v>528.59153000000003</v>
      </c>
      <c r="F219" s="102" t="s">
        <v>360</v>
      </c>
      <c r="G219" s="101">
        <f>528591.53/1000</f>
        <v>528.59153000000003</v>
      </c>
      <c r="H219" s="101"/>
      <c r="I219" s="102"/>
      <c r="J219" s="103"/>
    </row>
    <row r="220" spans="1:10" s="6" customFormat="1" ht="59.45" customHeight="1" x14ac:dyDescent="0.25">
      <c r="A220" s="507"/>
      <c r="B220" s="113" t="s">
        <v>86</v>
      </c>
      <c r="C220" s="113" t="s">
        <v>441</v>
      </c>
      <c r="D220" s="215">
        <f>2079000/1000</f>
        <v>2079</v>
      </c>
      <c r="E220" s="215">
        <f>G220</f>
        <v>0</v>
      </c>
      <c r="F220" s="261"/>
      <c r="G220" s="215"/>
      <c r="H220" s="215">
        <f t="shared" ref="H220:H225" si="17">J220</f>
        <v>1708.8981249999999</v>
      </c>
      <c r="I220" s="261" t="s">
        <v>442</v>
      </c>
      <c r="J220" s="215">
        <f>1708898.125/1000</f>
        <v>1708.8981249999999</v>
      </c>
    </row>
    <row r="221" spans="1:10" s="6" customFormat="1" ht="29.25" thickBot="1" x14ac:dyDescent="0.3">
      <c r="A221" s="508"/>
      <c r="B221" s="491" t="s">
        <v>232</v>
      </c>
      <c r="C221" s="491" t="s">
        <v>233</v>
      </c>
      <c r="D221" s="491"/>
      <c r="E221" s="492">
        <f>SUM(G221:G221)</f>
        <v>801.58969400000001</v>
      </c>
      <c r="F221" s="261" t="s">
        <v>403</v>
      </c>
      <c r="G221" s="215">
        <f>679313.3*1.18/1000</f>
        <v>801.58969400000001</v>
      </c>
      <c r="H221" s="215">
        <f t="shared" si="17"/>
        <v>166.43292300000002</v>
      </c>
      <c r="I221" s="261" t="s">
        <v>481</v>
      </c>
      <c r="J221" s="215">
        <f>166432.923/1000</f>
        <v>166.43292300000002</v>
      </c>
    </row>
    <row r="222" spans="1:10" s="6" customFormat="1" ht="28.5" x14ac:dyDescent="0.25">
      <c r="A222" s="223"/>
      <c r="B222" s="491"/>
      <c r="C222" s="491"/>
      <c r="D222" s="491"/>
      <c r="E222" s="492"/>
      <c r="F222" s="261"/>
      <c r="G222" s="215"/>
      <c r="H222" s="215">
        <f t="shared" si="17"/>
        <v>187.63069080000002</v>
      </c>
      <c r="I222" s="261" t="s">
        <v>505</v>
      </c>
      <c r="J222" s="215">
        <f>187630.6908/1000</f>
        <v>187.63069080000002</v>
      </c>
    </row>
    <row r="223" spans="1:10" s="6" customFormat="1" ht="28.5" x14ac:dyDescent="0.25">
      <c r="A223" s="223"/>
      <c r="B223" s="113"/>
      <c r="C223" s="113"/>
      <c r="D223" s="113"/>
      <c r="E223" s="249"/>
      <c r="F223" s="261"/>
      <c r="G223" s="215"/>
      <c r="H223" s="215">
        <f t="shared" si="17"/>
        <v>348.45698540000001</v>
      </c>
      <c r="I223" s="261" t="s">
        <v>514</v>
      </c>
      <c r="J223" s="215">
        <f>348456.9854/1000</f>
        <v>348.45698540000001</v>
      </c>
    </row>
    <row r="224" spans="1:10" s="6" customFormat="1" x14ac:dyDescent="0.25">
      <c r="A224" s="223"/>
      <c r="B224" s="496" t="s">
        <v>394</v>
      </c>
      <c r="C224" s="497"/>
      <c r="D224" s="161"/>
      <c r="E224" s="161">
        <f>G224</f>
        <v>0</v>
      </c>
      <c r="F224" s="162"/>
      <c r="G224" s="161"/>
      <c r="H224" s="161">
        <f t="shared" si="17"/>
        <v>2664.7743648000001</v>
      </c>
      <c r="I224" s="162"/>
      <c r="J224" s="163">
        <f>2664774.3648/1000</f>
        <v>2664.7743648000001</v>
      </c>
    </row>
    <row r="225" spans="1:10" s="6" customFormat="1" ht="15.75" thickBot="1" x14ac:dyDescent="0.3">
      <c r="A225" s="223"/>
      <c r="B225" s="496" t="s">
        <v>439</v>
      </c>
      <c r="C225" s="497"/>
      <c r="D225" s="161"/>
      <c r="E225" s="161"/>
      <c r="F225" s="162"/>
      <c r="G225" s="161"/>
      <c r="H225" s="161">
        <f t="shared" si="17"/>
        <v>2604.9101091999996</v>
      </c>
      <c r="I225" s="162"/>
      <c r="J225" s="163">
        <f>2604910.1092/1000</f>
        <v>2604.9101091999996</v>
      </c>
    </row>
    <row r="226" spans="1:10" s="6" customFormat="1" ht="63.75" customHeight="1" x14ac:dyDescent="0.25">
      <c r="A226" s="426" t="s">
        <v>79</v>
      </c>
      <c r="B226" s="90" t="s">
        <v>80</v>
      </c>
      <c r="C226" s="220" t="s">
        <v>81</v>
      </c>
      <c r="D226" s="222">
        <f>8181813.14/1000</f>
        <v>8181.8131399999993</v>
      </c>
      <c r="E226" s="222">
        <f>SUM(G226:G226)</f>
        <v>0</v>
      </c>
      <c r="F226" s="220" t="s">
        <v>18</v>
      </c>
      <c r="G226" s="222" t="s">
        <v>18</v>
      </c>
      <c r="H226" s="222">
        <f>SUM(J226:J226)</f>
        <v>0</v>
      </c>
      <c r="I226" s="220" t="s">
        <v>18</v>
      </c>
      <c r="J226" s="66" t="s">
        <v>18</v>
      </c>
    </row>
    <row r="227" spans="1:10" s="6" customFormat="1" ht="28.5" x14ac:dyDescent="0.25">
      <c r="A227" s="435"/>
      <c r="B227" s="31" t="s">
        <v>82</v>
      </c>
      <c r="C227" s="31" t="s">
        <v>83</v>
      </c>
      <c r="D227" s="29">
        <f>514893.6/1000</f>
        <v>514.89359999999999</v>
      </c>
      <c r="E227" s="29">
        <f>G227</f>
        <v>514.89359999999999</v>
      </c>
      <c r="F227" s="31" t="s">
        <v>84</v>
      </c>
      <c r="G227" s="29">
        <f>514893.6/1000</f>
        <v>514.89359999999999</v>
      </c>
      <c r="H227" s="29">
        <f>SUM(J227:J227)</f>
        <v>0</v>
      </c>
      <c r="I227" s="31" t="s">
        <v>18</v>
      </c>
      <c r="J227" s="43" t="s">
        <v>18</v>
      </c>
    </row>
    <row r="228" spans="1:10" s="6" customFormat="1" ht="28.5" x14ac:dyDescent="0.25">
      <c r="A228" s="435"/>
      <c r="B228" s="364" t="s">
        <v>158</v>
      </c>
      <c r="C228" s="364" t="s">
        <v>162</v>
      </c>
      <c r="D228" s="421">
        <f>1870809/1000</f>
        <v>1870.809</v>
      </c>
      <c r="E228" s="421">
        <f>G228+G229+G230</f>
        <v>1870.80927</v>
      </c>
      <c r="F228" s="31" t="s">
        <v>176</v>
      </c>
      <c r="G228" s="29">
        <f>426279.58/1000</f>
        <v>426.27958000000001</v>
      </c>
      <c r="H228" s="29">
        <f t="shared" ref="H228:H230" si="18">SUM(J228:J228)</f>
        <v>0</v>
      </c>
      <c r="I228" s="31" t="s">
        <v>18</v>
      </c>
      <c r="J228" s="43" t="s">
        <v>18</v>
      </c>
    </row>
    <row r="229" spans="1:10" s="6" customFormat="1" ht="28.5" x14ac:dyDescent="0.25">
      <c r="A229" s="435"/>
      <c r="B229" s="364"/>
      <c r="C229" s="364"/>
      <c r="D229" s="421"/>
      <c r="E229" s="421"/>
      <c r="F229" s="31" t="s">
        <v>178</v>
      </c>
      <c r="G229" s="29">
        <f>506089.2/1000</f>
        <v>506.08920000000001</v>
      </c>
      <c r="H229" s="29">
        <f t="shared" si="18"/>
        <v>0</v>
      </c>
      <c r="I229" s="31" t="s">
        <v>18</v>
      </c>
      <c r="J229" s="43" t="s">
        <v>18</v>
      </c>
    </row>
    <row r="230" spans="1:10" s="6" customFormat="1" ht="29.25" thickBot="1" x14ac:dyDescent="0.3">
      <c r="A230" s="427"/>
      <c r="B230" s="432"/>
      <c r="C230" s="432"/>
      <c r="D230" s="436"/>
      <c r="E230" s="436"/>
      <c r="F230" s="32" t="s">
        <v>177</v>
      </c>
      <c r="G230" s="20">
        <f>938440.49/1000</f>
        <v>938.44048999999995</v>
      </c>
      <c r="H230" s="20">
        <f t="shared" si="18"/>
        <v>0</v>
      </c>
      <c r="I230" s="32" t="s">
        <v>18</v>
      </c>
      <c r="J230" s="80" t="s">
        <v>18</v>
      </c>
    </row>
    <row r="231" spans="1:10" s="6" customFormat="1" ht="15.75" thickBot="1" x14ac:dyDescent="0.3">
      <c r="A231" s="75"/>
      <c r="B231" s="76"/>
      <c r="C231" s="76"/>
      <c r="D231" s="77"/>
      <c r="E231" s="77"/>
      <c r="F231" s="76"/>
      <c r="G231" s="77"/>
      <c r="H231" s="77"/>
      <c r="I231" s="76"/>
      <c r="J231" s="69"/>
    </row>
    <row r="232" spans="1:10" s="6" customFormat="1" ht="35.25" customHeight="1" x14ac:dyDescent="0.25">
      <c r="A232" s="379" t="s">
        <v>85</v>
      </c>
      <c r="B232" s="176" t="s">
        <v>86</v>
      </c>
      <c r="C232" s="176" t="s">
        <v>87</v>
      </c>
      <c r="D232" s="172">
        <v>1986</v>
      </c>
      <c r="E232" s="172">
        <f>SUM(G232)</f>
        <v>1986</v>
      </c>
      <c r="F232" s="176" t="s">
        <v>88</v>
      </c>
      <c r="G232" s="177">
        <v>1986</v>
      </c>
      <c r="H232" s="184">
        <f>SUM(J232)</f>
        <v>0</v>
      </c>
      <c r="I232" s="176" t="s">
        <v>18</v>
      </c>
      <c r="J232" s="53" t="s">
        <v>18</v>
      </c>
    </row>
    <row r="233" spans="1:10" s="6" customFormat="1" ht="28.5" x14ac:dyDescent="0.25">
      <c r="A233" s="369"/>
      <c r="B233" s="364" t="s">
        <v>227</v>
      </c>
      <c r="C233" s="364" t="s">
        <v>228</v>
      </c>
      <c r="D233" s="437">
        <f>5648628.51/1000</f>
        <v>5648.6285099999996</v>
      </c>
      <c r="E233" s="437">
        <f>SUM(G233:G234)</f>
        <v>5236.5903900000003</v>
      </c>
      <c r="F233" s="138" t="s">
        <v>376</v>
      </c>
      <c r="G233" s="135">
        <f>3213485.8/1000</f>
        <v>3213.4857999999999</v>
      </c>
      <c r="H233" s="55">
        <f>SUM(J233)</f>
        <v>3213.4857989999996</v>
      </c>
      <c r="I233" s="174" t="s">
        <v>294</v>
      </c>
      <c r="J233" s="43">
        <v>3213.4857989999996</v>
      </c>
    </row>
    <row r="234" spans="1:10" s="6" customFormat="1" ht="28.15" customHeight="1" x14ac:dyDescent="0.25">
      <c r="A234" s="369"/>
      <c r="B234" s="364"/>
      <c r="C234" s="364"/>
      <c r="D234" s="437"/>
      <c r="E234" s="437"/>
      <c r="F234" s="155" t="s">
        <v>391</v>
      </c>
      <c r="G234" s="154">
        <f>2023104.59/1000</f>
        <v>2023.1045900000001</v>
      </c>
      <c r="H234" s="200">
        <f>SUM(J234)</f>
        <v>2023.1045838</v>
      </c>
      <c r="I234" s="138" t="s">
        <v>416</v>
      </c>
      <c r="J234" s="139">
        <f>2023104.5838/1000</f>
        <v>2023.1045838</v>
      </c>
    </row>
    <row r="235" spans="1:10" s="1" customFormat="1" ht="28.15" customHeight="1" x14ac:dyDescent="0.25">
      <c r="A235" s="369"/>
      <c r="B235" s="225"/>
      <c r="C235" s="225"/>
      <c r="D235" s="250"/>
      <c r="E235" s="250"/>
      <c r="F235" s="225"/>
      <c r="G235" s="214"/>
      <c r="H235" s="274">
        <f>J235</f>
        <v>403.79243639999999</v>
      </c>
      <c r="I235" s="113" t="s">
        <v>465</v>
      </c>
      <c r="J235" s="275">
        <f>403792.4364/1000</f>
        <v>403.79243639999999</v>
      </c>
    </row>
    <row r="236" spans="1:10" s="6" customFormat="1" ht="28.5" x14ac:dyDescent="0.25">
      <c r="A236" s="369"/>
      <c r="B236" s="364" t="s">
        <v>82</v>
      </c>
      <c r="C236" s="364" t="s">
        <v>266</v>
      </c>
      <c r="D236" s="364">
        <f>8817712.56/1000</f>
        <v>8817.7125599999999</v>
      </c>
      <c r="E236" s="423">
        <f>SUM(G236:G238)</f>
        <v>2122.1431600000001</v>
      </c>
      <c r="F236" s="174" t="s">
        <v>267</v>
      </c>
      <c r="G236" s="178">
        <v>961.05011000000002</v>
      </c>
      <c r="H236" s="55"/>
      <c r="I236" s="174"/>
      <c r="J236" s="43"/>
    </row>
    <row r="237" spans="1:10" s="6" customFormat="1" ht="28.5" x14ac:dyDescent="0.25">
      <c r="A237" s="369"/>
      <c r="B237" s="364"/>
      <c r="C237" s="364"/>
      <c r="D237" s="364"/>
      <c r="E237" s="423"/>
      <c r="F237" s="174" t="s">
        <v>268</v>
      </c>
      <c r="G237" s="178">
        <v>355.59017</v>
      </c>
      <c r="H237" s="55"/>
      <c r="I237" s="174"/>
      <c r="J237" s="43"/>
    </row>
    <row r="238" spans="1:10" s="6" customFormat="1" ht="28.5" x14ac:dyDescent="0.25">
      <c r="A238" s="369"/>
      <c r="B238" s="364"/>
      <c r="C238" s="364"/>
      <c r="D238" s="364"/>
      <c r="E238" s="423"/>
      <c r="F238" s="174" t="s">
        <v>269</v>
      </c>
      <c r="G238" s="178">
        <v>805.50288</v>
      </c>
      <c r="H238" s="55"/>
      <c r="I238" s="174"/>
      <c r="J238" s="43"/>
    </row>
    <row r="239" spans="1:10" s="6" customFormat="1" ht="28.5" x14ac:dyDescent="0.25">
      <c r="A239" s="369"/>
      <c r="B239" s="364" t="s">
        <v>232</v>
      </c>
      <c r="C239" s="364" t="s">
        <v>233</v>
      </c>
      <c r="D239" s="364"/>
      <c r="E239" s="423">
        <f>SUM(G239:G242)</f>
        <v>1377.308493</v>
      </c>
      <c r="F239" s="174" t="s">
        <v>297</v>
      </c>
      <c r="G239" s="178">
        <f>118162.88*1.18/1000</f>
        <v>139.4321984</v>
      </c>
      <c r="H239" s="55"/>
      <c r="I239" s="174"/>
      <c r="J239" s="43"/>
    </row>
    <row r="240" spans="1:10" s="6" customFormat="1" ht="28.5" x14ac:dyDescent="0.25">
      <c r="A240" s="369"/>
      <c r="B240" s="364"/>
      <c r="C240" s="364"/>
      <c r="D240" s="364"/>
      <c r="E240" s="423"/>
      <c r="F240" s="174" t="s">
        <v>298</v>
      </c>
      <c r="G240" s="178">
        <f>85302.7546/1000</f>
        <v>85.3027546</v>
      </c>
      <c r="H240" s="55"/>
      <c r="I240" s="174"/>
      <c r="J240" s="43"/>
    </row>
    <row r="241" spans="1:10" s="6" customFormat="1" ht="28.5" x14ac:dyDescent="0.25">
      <c r="A241" s="369"/>
      <c r="B241" s="364"/>
      <c r="C241" s="364"/>
      <c r="D241" s="364"/>
      <c r="E241" s="423"/>
      <c r="F241" s="138" t="s">
        <v>378</v>
      </c>
      <c r="G241" s="135">
        <f>707288.22/1000</f>
        <v>707.28822000000002</v>
      </c>
      <c r="H241" s="55">
        <f>SUM(J241)</f>
        <v>707.28822400000001</v>
      </c>
      <c r="I241" s="174" t="s">
        <v>417</v>
      </c>
      <c r="J241" s="43">
        <v>707.28822400000001</v>
      </c>
    </row>
    <row r="242" spans="1:10" s="6" customFormat="1" ht="28.5" x14ac:dyDescent="0.25">
      <c r="A242" s="369"/>
      <c r="B242" s="364"/>
      <c r="C242" s="364"/>
      <c r="D242" s="364"/>
      <c r="E242" s="423"/>
      <c r="F242" s="202" t="s">
        <v>401</v>
      </c>
      <c r="G242" s="135">
        <f>445285.32/1000</f>
        <v>445.28532000000001</v>
      </c>
      <c r="H242" s="200">
        <f>SUM(J242)</f>
        <v>445.2853192</v>
      </c>
      <c r="I242" s="138" t="s">
        <v>418</v>
      </c>
      <c r="J242" s="139">
        <f>445285.3192/1000</f>
        <v>445.2853192</v>
      </c>
    </row>
    <row r="243" spans="1:10" s="1" customFormat="1" ht="28.5" x14ac:dyDescent="0.25">
      <c r="A243" s="369"/>
      <c r="B243" s="225"/>
      <c r="C243" s="225"/>
      <c r="D243" s="225"/>
      <c r="E243" s="214"/>
      <c r="F243" s="225"/>
      <c r="G243" s="214"/>
      <c r="H243" s="274">
        <f>J243</f>
        <v>88.874720799999992</v>
      </c>
      <c r="I243" s="113" t="s">
        <v>480</v>
      </c>
      <c r="J243" s="275">
        <f>88874.7208/1000</f>
        <v>88.874720799999992</v>
      </c>
    </row>
    <row r="244" spans="1:10" s="6" customFormat="1" x14ac:dyDescent="0.25">
      <c r="A244" s="369"/>
      <c r="B244" s="364" t="s">
        <v>252</v>
      </c>
      <c r="C244" s="364"/>
      <c r="D244" s="173"/>
      <c r="E244" s="173"/>
      <c r="F244" s="174"/>
      <c r="G244" s="178"/>
      <c r="H244" s="55">
        <f>SUM(J244)</f>
        <v>1675.9343766000002</v>
      </c>
      <c r="I244" s="174"/>
      <c r="J244" s="43">
        <v>1675.9343766000002</v>
      </c>
    </row>
    <row r="245" spans="1:10" s="6" customFormat="1" ht="15.75" thickBot="1" x14ac:dyDescent="0.3">
      <c r="A245" s="370"/>
      <c r="B245" s="432" t="s">
        <v>382</v>
      </c>
      <c r="C245" s="432"/>
      <c r="D245" s="175"/>
      <c r="E245" s="175"/>
      <c r="F245" s="170"/>
      <c r="G245" s="183"/>
      <c r="H245" s="203">
        <f>517809.9364/1000</f>
        <v>517.80993639999997</v>
      </c>
      <c r="I245" s="170"/>
      <c r="J245" s="204">
        <f>517809.9364/1000</f>
        <v>517.80993639999997</v>
      </c>
    </row>
    <row r="246" spans="1:10" s="6" customFormat="1" ht="28.5" x14ac:dyDescent="0.25">
      <c r="A246" s="433" t="s">
        <v>215</v>
      </c>
      <c r="B246" s="366" t="s">
        <v>216</v>
      </c>
      <c r="C246" s="366" t="s">
        <v>217</v>
      </c>
      <c r="D246" s="366">
        <f>741350/1000</f>
        <v>741.35</v>
      </c>
      <c r="E246" s="417">
        <f>G246</f>
        <v>726.37330000000009</v>
      </c>
      <c r="F246" s="171" t="s">
        <v>270</v>
      </c>
      <c r="G246" s="180">
        <v>726.37330000000009</v>
      </c>
      <c r="H246" s="383">
        <f>SUM(J246:J247)</f>
        <v>726.37329879999993</v>
      </c>
      <c r="I246" s="180" t="s">
        <v>237</v>
      </c>
      <c r="J246" s="66">
        <f>700337.2688/1000</f>
        <v>700.33726879999995</v>
      </c>
    </row>
    <row r="247" spans="1:10" s="6" customFormat="1" ht="29.25" thickBot="1" x14ac:dyDescent="0.3">
      <c r="A247" s="434"/>
      <c r="B247" s="365"/>
      <c r="C247" s="365"/>
      <c r="D247" s="365"/>
      <c r="E247" s="365"/>
      <c r="F247" s="52"/>
      <c r="G247" s="44"/>
      <c r="H247" s="381"/>
      <c r="I247" s="44" t="s">
        <v>237</v>
      </c>
      <c r="J247" s="54">
        <f>26036.03/1000</f>
        <v>26.03603</v>
      </c>
    </row>
    <row r="248" spans="1:10" s="6" customFormat="1" ht="28.5" x14ac:dyDescent="0.25">
      <c r="A248" s="426" t="s">
        <v>402</v>
      </c>
      <c r="B248" s="241" t="s">
        <v>324</v>
      </c>
      <c r="C248" s="231" t="s">
        <v>420</v>
      </c>
      <c r="D248" s="241">
        <f>1914412.55/1000</f>
        <v>1914.41255</v>
      </c>
      <c r="E248" s="231"/>
      <c r="F248" s="241"/>
      <c r="G248" s="231"/>
      <c r="H248" s="283">
        <f>J248</f>
        <v>1033.0551545999999</v>
      </c>
      <c r="I248" s="284" t="s">
        <v>422</v>
      </c>
      <c r="J248" s="285">
        <f>1033055.1546/1000</f>
        <v>1033.0551545999999</v>
      </c>
    </row>
    <row r="249" spans="1:10" s="6" customFormat="1" ht="29.25" thickBot="1" x14ac:dyDescent="0.3">
      <c r="A249" s="427"/>
      <c r="B249" s="230" t="s">
        <v>232</v>
      </c>
      <c r="C249" s="230" t="s">
        <v>233</v>
      </c>
      <c r="D249" s="230"/>
      <c r="E249" s="260">
        <f>G249</f>
        <v>10.640473</v>
      </c>
      <c r="F249" s="114" t="s">
        <v>403</v>
      </c>
      <c r="G249" s="260">
        <f>10640.473/1000</f>
        <v>10.640473</v>
      </c>
      <c r="H249" s="286">
        <f>J249</f>
        <v>10.640473</v>
      </c>
      <c r="I249" s="287" t="s">
        <v>421</v>
      </c>
      <c r="J249" s="288">
        <f>9017.35*1.18/1000</f>
        <v>10.640473</v>
      </c>
    </row>
    <row r="250" spans="1:10" ht="28.5" x14ac:dyDescent="0.25">
      <c r="A250" s="380" t="s">
        <v>89</v>
      </c>
      <c r="B250" s="404" t="s">
        <v>90</v>
      </c>
      <c r="C250" s="404" t="s">
        <v>91</v>
      </c>
      <c r="D250" s="404">
        <v>118900</v>
      </c>
      <c r="E250" s="418">
        <f>SUM(G250:G262)</f>
        <v>49624.092880000004</v>
      </c>
      <c r="F250" s="220" t="s">
        <v>92</v>
      </c>
      <c r="G250" s="222">
        <v>1500</v>
      </c>
      <c r="H250" s="428">
        <f>SUM(J250:J264)</f>
        <v>66126.877907200003</v>
      </c>
      <c r="I250" s="224" t="s">
        <v>93</v>
      </c>
      <c r="J250" s="66">
        <f>3754970*1.18/1000</f>
        <v>4430.8645999999999</v>
      </c>
    </row>
    <row r="251" spans="1:10" ht="28.5" x14ac:dyDescent="0.25">
      <c r="A251" s="380"/>
      <c r="B251" s="380"/>
      <c r="C251" s="380"/>
      <c r="D251" s="380"/>
      <c r="E251" s="384"/>
      <c r="F251" s="31" t="s">
        <v>94</v>
      </c>
      <c r="G251" s="29">
        <v>2708.9962799999998</v>
      </c>
      <c r="H251" s="416"/>
      <c r="I251" s="28" t="s">
        <v>18</v>
      </c>
      <c r="J251" s="43" t="s">
        <v>18</v>
      </c>
    </row>
    <row r="252" spans="1:10" ht="28.5" x14ac:dyDescent="0.25">
      <c r="A252" s="380"/>
      <c r="B252" s="380"/>
      <c r="C252" s="380"/>
      <c r="D252" s="380"/>
      <c r="E252" s="384"/>
      <c r="F252" s="31" t="s">
        <v>95</v>
      </c>
      <c r="G252" s="29">
        <v>4430.8645999999999</v>
      </c>
      <c r="H252" s="416"/>
      <c r="I252" s="28" t="s">
        <v>18</v>
      </c>
      <c r="J252" s="43" t="s">
        <v>18</v>
      </c>
    </row>
    <row r="253" spans="1:10" ht="28.5" x14ac:dyDescent="0.25">
      <c r="A253" s="380"/>
      <c r="B253" s="380"/>
      <c r="C253" s="380"/>
      <c r="D253" s="380"/>
      <c r="E253" s="384"/>
      <c r="F253" s="31" t="s">
        <v>185</v>
      </c>
      <c r="G253" s="29">
        <f>3043458.36/1000</f>
        <v>3043.4583600000001</v>
      </c>
      <c r="H253" s="416"/>
      <c r="I253" s="28" t="s">
        <v>152</v>
      </c>
      <c r="J253" s="30">
        <v>3043.4583600000001</v>
      </c>
    </row>
    <row r="254" spans="1:10" ht="28.5" x14ac:dyDescent="0.25">
      <c r="A254" s="380"/>
      <c r="B254" s="380"/>
      <c r="C254" s="380"/>
      <c r="D254" s="380"/>
      <c r="E254" s="384"/>
      <c r="F254" s="31" t="s">
        <v>190</v>
      </c>
      <c r="G254" s="29">
        <f>3737886/1000</f>
        <v>3737.886</v>
      </c>
      <c r="H254" s="416"/>
      <c r="I254" s="28" t="s">
        <v>160</v>
      </c>
      <c r="J254" s="30">
        <v>3739.5533399999999</v>
      </c>
    </row>
    <row r="255" spans="1:10" ht="42.75" x14ac:dyDescent="0.25">
      <c r="A255" s="380"/>
      <c r="B255" s="380"/>
      <c r="C255" s="380"/>
      <c r="D255" s="380"/>
      <c r="E255" s="384"/>
      <c r="F255" s="31" t="s">
        <v>271</v>
      </c>
      <c r="G255" s="29">
        <v>367.47559999999999</v>
      </c>
      <c r="H255" s="416"/>
      <c r="I255" s="28" t="s">
        <v>157</v>
      </c>
      <c r="J255" s="30">
        <v>-1.6673399999999998</v>
      </c>
    </row>
    <row r="256" spans="1:10" ht="28.5" x14ac:dyDescent="0.25">
      <c r="A256" s="380"/>
      <c r="B256" s="380"/>
      <c r="C256" s="380"/>
      <c r="D256" s="380"/>
      <c r="E256" s="384"/>
      <c r="F256" s="31" t="s">
        <v>272</v>
      </c>
      <c r="G256" s="29">
        <v>597.43399999999997</v>
      </c>
      <c r="H256" s="416"/>
      <c r="I256" s="28" t="s">
        <v>169</v>
      </c>
      <c r="J256" s="30">
        <f>(311420/1000)*1.18</f>
        <v>367.47559999999999</v>
      </c>
    </row>
    <row r="257" spans="1:10" ht="28.5" x14ac:dyDescent="0.25">
      <c r="A257" s="380"/>
      <c r="B257" s="380"/>
      <c r="C257" s="380"/>
      <c r="D257" s="380"/>
      <c r="E257" s="384"/>
      <c r="F257" s="31" t="s">
        <v>273</v>
      </c>
      <c r="G257" s="29">
        <v>893.79571999999996</v>
      </c>
      <c r="H257" s="416"/>
      <c r="I257" s="28" t="s">
        <v>170</v>
      </c>
      <c r="J257" s="30">
        <v>597.43399999999997</v>
      </c>
    </row>
    <row r="258" spans="1:10" ht="28.5" x14ac:dyDescent="0.25">
      <c r="A258" s="380"/>
      <c r="B258" s="380"/>
      <c r="C258" s="380"/>
      <c r="D258" s="380"/>
      <c r="E258" s="384"/>
      <c r="F258" s="31" t="s">
        <v>274</v>
      </c>
      <c r="G258" s="29">
        <v>4441.6132200000002</v>
      </c>
      <c r="H258" s="416"/>
      <c r="I258" s="28" t="s">
        <v>206</v>
      </c>
      <c r="J258" s="30">
        <v>893.79571999999996</v>
      </c>
    </row>
    <row r="259" spans="1:10" ht="28.5" x14ac:dyDescent="0.25">
      <c r="A259" s="380"/>
      <c r="B259" s="380"/>
      <c r="C259" s="380"/>
      <c r="D259" s="380"/>
      <c r="E259" s="384"/>
      <c r="F259" s="31" t="s">
        <v>275</v>
      </c>
      <c r="G259" s="29">
        <v>4343.0312999999996</v>
      </c>
      <c r="H259" s="416"/>
      <c r="I259" s="28" t="s">
        <v>236</v>
      </c>
      <c r="J259" s="30">
        <v>4441.6132200000002</v>
      </c>
    </row>
    <row r="260" spans="1:10" ht="28.5" x14ac:dyDescent="0.25">
      <c r="A260" s="380"/>
      <c r="B260" s="380"/>
      <c r="C260" s="380"/>
      <c r="D260" s="380"/>
      <c r="E260" s="384"/>
      <c r="F260" s="138" t="s">
        <v>377</v>
      </c>
      <c r="G260" s="131">
        <f>6015282.46/1000</f>
        <v>6015.2824600000004</v>
      </c>
      <c r="H260" s="416"/>
      <c r="I260" s="28" t="s">
        <v>244</v>
      </c>
      <c r="J260" s="30">
        <v>4343.0312999999996</v>
      </c>
    </row>
    <row r="261" spans="1:10" ht="28.5" x14ac:dyDescent="0.25">
      <c r="A261" s="380"/>
      <c r="B261" s="380"/>
      <c r="C261" s="380"/>
      <c r="D261" s="380"/>
      <c r="E261" s="384"/>
      <c r="F261" s="155" t="s">
        <v>389</v>
      </c>
      <c r="G261" s="156">
        <f>12654777.84/1000</f>
        <v>12654.777840000001</v>
      </c>
      <c r="H261" s="416"/>
      <c r="I261" s="28" t="s">
        <v>287</v>
      </c>
      <c r="J261" s="30">
        <v>6015.2824600000004</v>
      </c>
    </row>
    <row r="262" spans="1:10" ht="28.5" x14ac:dyDescent="0.25">
      <c r="A262" s="380"/>
      <c r="B262" s="380"/>
      <c r="C262" s="380"/>
      <c r="D262" s="380"/>
      <c r="E262" s="384"/>
      <c r="F262" s="97" t="s">
        <v>313</v>
      </c>
      <c r="G262" s="98">
        <f>4889477.5/1000</f>
        <v>4889.4775</v>
      </c>
      <c r="H262" s="416"/>
      <c r="I262" s="132" t="s">
        <v>410</v>
      </c>
      <c r="J262" s="205">
        <f>12654777.84/1000</f>
        <v>12654.777840000001</v>
      </c>
    </row>
    <row r="263" spans="1:10" ht="28.5" x14ac:dyDescent="0.25">
      <c r="A263" s="372"/>
      <c r="B263" s="380"/>
      <c r="C263" s="380"/>
      <c r="D263" s="380"/>
      <c r="E263" s="384"/>
      <c r="F263" s="218"/>
      <c r="G263" s="232"/>
      <c r="H263" s="416"/>
      <c r="I263" s="254" t="s">
        <v>431</v>
      </c>
      <c r="J263" s="255">
        <f>4889477.5/1000</f>
        <v>4889.4775</v>
      </c>
    </row>
    <row r="264" spans="1:10" ht="28.5" x14ac:dyDescent="0.25">
      <c r="A264" s="372"/>
      <c r="B264" s="366"/>
      <c r="C264" s="366"/>
      <c r="D264" s="366"/>
      <c r="E264" s="368"/>
      <c r="F264" s="218"/>
      <c r="G264" s="232"/>
      <c r="H264" s="417"/>
      <c r="I264" s="189" t="s">
        <v>479</v>
      </c>
      <c r="J264" s="258">
        <f>20711781.3072/1000</f>
        <v>20711.781307199999</v>
      </c>
    </row>
    <row r="265" spans="1:10" x14ac:dyDescent="0.25">
      <c r="A265" s="372"/>
      <c r="B265" s="364" t="s">
        <v>200</v>
      </c>
      <c r="C265" s="364"/>
      <c r="D265" s="167" t="s">
        <v>18</v>
      </c>
      <c r="E265" s="168">
        <f>G265</f>
        <v>239.84057000000001</v>
      </c>
      <c r="F265" s="165" t="s">
        <v>18</v>
      </c>
      <c r="G265" s="168">
        <f>239840.57/1000</f>
        <v>239.84057000000001</v>
      </c>
      <c r="H265" s="168">
        <f>J265</f>
        <v>239.84057000000001</v>
      </c>
      <c r="I265" s="167" t="s">
        <v>18</v>
      </c>
      <c r="J265" s="168">
        <f>239840.57/1000</f>
        <v>239.84057000000001</v>
      </c>
    </row>
    <row r="266" spans="1:10" x14ac:dyDescent="0.25">
      <c r="A266" s="372"/>
      <c r="B266" s="364" t="s">
        <v>248</v>
      </c>
      <c r="C266" s="364"/>
      <c r="D266" s="167" t="s">
        <v>18</v>
      </c>
      <c r="E266" s="168">
        <f t="shared" ref="E266:E268" si="19">G266</f>
        <v>119.8629</v>
      </c>
      <c r="F266" s="165" t="s">
        <v>18</v>
      </c>
      <c r="G266" s="168">
        <v>119.8629</v>
      </c>
      <c r="H266" s="168">
        <f t="shared" ref="H266:H268" si="20">J266</f>
        <v>119.8629</v>
      </c>
      <c r="I266" s="167" t="s">
        <v>18</v>
      </c>
      <c r="J266" s="168">
        <v>119.8629</v>
      </c>
    </row>
    <row r="267" spans="1:10" ht="15" customHeight="1" x14ac:dyDescent="0.25">
      <c r="A267" s="372"/>
      <c r="B267" s="364" t="s">
        <v>249</v>
      </c>
      <c r="C267" s="364"/>
      <c r="D267" s="167" t="s">
        <v>18</v>
      </c>
      <c r="E267" s="168">
        <f t="shared" si="19"/>
        <v>131.42073000000002</v>
      </c>
      <c r="F267" s="165" t="s">
        <v>18</v>
      </c>
      <c r="G267" s="168">
        <v>131.42073000000002</v>
      </c>
      <c r="H267" s="168">
        <f t="shared" si="20"/>
        <v>131.42073000000002</v>
      </c>
      <c r="I267" s="167" t="s">
        <v>18</v>
      </c>
      <c r="J267" s="168">
        <v>131.42073000000002</v>
      </c>
    </row>
    <row r="268" spans="1:10" ht="15.75" customHeight="1" x14ac:dyDescent="0.25">
      <c r="A268" s="372"/>
      <c r="B268" s="364" t="s">
        <v>250</v>
      </c>
      <c r="C268" s="364"/>
      <c r="D268" s="167"/>
      <c r="E268" s="168">
        <f t="shared" si="19"/>
        <v>200.47611000000001</v>
      </c>
      <c r="F268" s="165" t="s">
        <v>18</v>
      </c>
      <c r="G268" s="168">
        <v>200.47611000000001</v>
      </c>
      <c r="H268" s="168">
        <f t="shared" si="20"/>
        <v>200.47611000000001</v>
      </c>
      <c r="I268" s="167" t="s">
        <v>18</v>
      </c>
      <c r="J268" s="168">
        <v>200.47611000000001</v>
      </c>
    </row>
    <row r="269" spans="1:10" ht="15" customHeight="1" x14ac:dyDescent="0.25">
      <c r="A269" s="372"/>
      <c r="B269" s="364" t="s">
        <v>379</v>
      </c>
      <c r="C269" s="364"/>
      <c r="D269" s="167"/>
      <c r="E269" s="168">
        <f t="shared" ref="E269:E271" si="21">G269</f>
        <v>209.48329000000001</v>
      </c>
      <c r="F269" s="165" t="s">
        <v>18</v>
      </c>
      <c r="G269" s="131">
        <f>209483.29/1000</f>
        <v>209.48329000000001</v>
      </c>
      <c r="H269" s="168">
        <f t="shared" ref="H269:H271" si="22">J269</f>
        <v>209.48329000000001</v>
      </c>
      <c r="I269" s="167" t="s">
        <v>18</v>
      </c>
      <c r="J269" s="131">
        <f>209483.29/1000</f>
        <v>209.48329000000001</v>
      </c>
    </row>
    <row r="270" spans="1:10" ht="15" customHeight="1" x14ac:dyDescent="0.25">
      <c r="A270" s="372"/>
      <c r="B270" s="364" t="s">
        <v>380</v>
      </c>
      <c r="C270" s="364"/>
      <c r="D270" s="167"/>
      <c r="E270" s="168">
        <f t="shared" si="21"/>
        <v>325.08123999999998</v>
      </c>
      <c r="F270" s="165" t="s">
        <v>18</v>
      </c>
      <c r="G270" s="191">
        <f>325081.24/1000</f>
        <v>325.08123999999998</v>
      </c>
      <c r="H270" s="168">
        <f t="shared" si="22"/>
        <v>325.08123999999998</v>
      </c>
      <c r="I270" s="167" t="s">
        <v>18</v>
      </c>
      <c r="J270" s="191">
        <f>325081.24/1000</f>
        <v>325.08123999999998</v>
      </c>
    </row>
    <row r="271" spans="1:10" ht="15" customHeight="1" x14ac:dyDescent="0.25">
      <c r="A271" s="373"/>
      <c r="B271" s="364" t="s">
        <v>381</v>
      </c>
      <c r="C271" s="364"/>
      <c r="D271" s="167"/>
      <c r="E271" s="168">
        <f t="shared" si="21"/>
        <v>290.96610999999996</v>
      </c>
      <c r="F271" s="165" t="s">
        <v>18</v>
      </c>
      <c r="G271" s="192">
        <f>290966.11/1000</f>
        <v>290.96610999999996</v>
      </c>
      <c r="H271" s="168">
        <f t="shared" si="22"/>
        <v>290.96610999999996</v>
      </c>
      <c r="I271" s="167" t="s">
        <v>18</v>
      </c>
      <c r="J271" s="192">
        <f>290966.11/1000</f>
        <v>290.96610999999996</v>
      </c>
    </row>
    <row r="272" spans="1:10" ht="28.5" x14ac:dyDescent="0.25">
      <c r="A272" s="425" t="s">
        <v>229</v>
      </c>
      <c r="B272" s="366" t="s">
        <v>230</v>
      </c>
      <c r="C272" s="366" t="s">
        <v>231</v>
      </c>
      <c r="D272" s="429">
        <f>7148580.62/1000</f>
        <v>7148.5806199999997</v>
      </c>
      <c r="E272" s="363">
        <f>SUM(G272:G275)</f>
        <v>6757.26548</v>
      </c>
      <c r="F272" s="157" t="s">
        <v>390</v>
      </c>
      <c r="G272" s="158">
        <f>6757265.48/1000</f>
        <v>6757.26548</v>
      </c>
      <c r="H272" s="363">
        <f>SUM(J272:J275)</f>
        <v>6757.2654799999991</v>
      </c>
      <c r="I272" s="57" t="s">
        <v>289</v>
      </c>
      <c r="J272" s="58">
        <v>6470.3187799999996</v>
      </c>
    </row>
    <row r="273" spans="1:10" x14ac:dyDescent="0.25">
      <c r="A273" s="386"/>
      <c r="B273" s="364"/>
      <c r="C273" s="364"/>
      <c r="D273" s="430"/>
      <c r="E273" s="421"/>
      <c r="F273" s="31" t="s">
        <v>18</v>
      </c>
      <c r="G273" s="29"/>
      <c r="H273" s="421"/>
      <c r="I273" s="424" t="s">
        <v>290</v>
      </c>
      <c r="J273" s="30">
        <v>219.05519999999999</v>
      </c>
    </row>
    <row r="274" spans="1:10" x14ac:dyDescent="0.25">
      <c r="A274" s="386"/>
      <c r="B274" s="364"/>
      <c r="C274" s="364"/>
      <c r="D274" s="430"/>
      <c r="E274" s="421"/>
      <c r="F274" s="31" t="s">
        <v>18</v>
      </c>
      <c r="G274" s="29"/>
      <c r="H274" s="421"/>
      <c r="I274" s="416"/>
      <c r="J274" s="30">
        <v>12.891500000000001</v>
      </c>
    </row>
    <row r="275" spans="1:10" x14ac:dyDescent="0.25">
      <c r="A275" s="422"/>
      <c r="B275" s="365"/>
      <c r="C275" s="365"/>
      <c r="D275" s="431"/>
      <c r="E275" s="361"/>
      <c r="F275" s="52" t="s">
        <v>18</v>
      </c>
      <c r="G275" s="45"/>
      <c r="H275" s="361"/>
      <c r="I275" s="416"/>
      <c r="J275" s="79">
        <v>55</v>
      </c>
    </row>
    <row r="276" spans="1:10" ht="28.5" x14ac:dyDescent="0.25">
      <c r="A276" s="364" t="s">
        <v>96</v>
      </c>
      <c r="B276" s="364" t="s">
        <v>97</v>
      </c>
      <c r="C276" s="364" t="s">
        <v>98</v>
      </c>
      <c r="D276" s="364">
        <v>7619.37</v>
      </c>
      <c r="E276" s="421">
        <f>SUM(G276:G286)</f>
        <v>6681.628670000001</v>
      </c>
      <c r="F276" s="31" t="s">
        <v>99</v>
      </c>
      <c r="G276" s="29">
        <f>649436.5/1000</f>
        <v>649.43650000000002</v>
      </c>
      <c r="H276" s="423">
        <f>SUM(J276:J286)</f>
        <v>5833.6344871999991</v>
      </c>
      <c r="I276" s="423" t="s">
        <v>100</v>
      </c>
      <c r="J276" s="29">
        <f>2175878.11*1.18/1000</f>
        <v>2567.5361697999997</v>
      </c>
    </row>
    <row r="277" spans="1:10" ht="28.5" x14ac:dyDescent="0.25">
      <c r="A277" s="364"/>
      <c r="B277" s="364"/>
      <c r="C277" s="364"/>
      <c r="D277" s="364"/>
      <c r="E277" s="364"/>
      <c r="F277" s="31" t="s">
        <v>101</v>
      </c>
      <c r="G277" s="29">
        <f>198557.68/1000</f>
        <v>198.55768</v>
      </c>
      <c r="H277" s="423"/>
      <c r="I277" s="423"/>
      <c r="J277" s="29">
        <f>19222.141/1000</f>
        <v>19.222141000000001</v>
      </c>
    </row>
    <row r="278" spans="1:10" ht="28.5" x14ac:dyDescent="0.25">
      <c r="A278" s="364"/>
      <c r="B278" s="364"/>
      <c r="C278" s="364"/>
      <c r="D278" s="364"/>
      <c r="E278" s="364"/>
      <c r="F278" s="31" t="s">
        <v>102</v>
      </c>
      <c r="G278" s="29">
        <v>2586.7583100000002</v>
      </c>
      <c r="H278" s="423"/>
      <c r="I278" s="423" t="s">
        <v>103</v>
      </c>
      <c r="J278" s="29">
        <v>780.10994159999996</v>
      </c>
    </row>
    <row r="279" spans="1:10" ht="28.5" x14ac:dyDescent="0.25">
      <c r="A279" s="364"/>
      <c r="B279" s="364"/>
      <c r="C279" s="364"/>
      <c r="D279" s="364"/>
      <c r="E279" s="364"/>
      <c r="F279" s="31" t="s">
        <v>276</v>
      </c>
      <c r="G279" s="29">
        <v>2210.5563700000002</v>
      </c>
      <c r="H279" s="423"/>
      <c r="I279" s="423"/>
      <c r="J279" s="29">
        <v>62.646070199999997</v>
      </c>
    </row>
    <row r="280" spans="1:10" ht="42.75" x14ac:dyDescent="0.25">
      <c r="A280" s="364"/>
      <c r="B280" s="364"/>
      <c r="C280" s="364"/>
      <c r="D280" s="364"/>
      <c r="E280" s="364"/>
      <c r="F280" s="31" t="s">
        <v>293</v>
      </c>
      <c r="G280" s="28">
        <v>1036.31981</v>
      </c>
      <c r="H280" s="423"/>
      <c r="I280" s="28" t="s">
        <v>151</v>
      </c>
      <c r="J280" s="29">
        <v>107.57180899999999</v>
      </c>
    </row>
    <row r="281" spans="1:10" x14ac:dyDescent="0.25">
      <c r="A281" s="364"/>
      <c r="B281" s="364"/>
      <c r="C281" s="364"/>
      <c r="D281" s="364"/>
      <c r="E281" s="364"/>
      <c r="F281" s="31" t="s">
        <v>18</v>
      </c>
      <c r="G281" s="31" t="s">
        <v>18</v>
      </c>
      <c r="H281" s="423"/>
      <c r="I281" s="423" t="s">
        <v>277</v>
      </c>
      <c r="J281" s="29">
        <v>1494.6780103999999</v>
      </c>
    </row>
    <row r="282" spans="1:10" x14ac:dyDescent="0.25">
      <c r="A282" s="364"/>
      <c r="B282" s="364"/>
      <c r="C282" s="364"/>
      <c r="D282" s="364"/>
      <c r="E282" s="364"/>
      <c r="F282" s="31" t="s">
        <v>18</v>
      </c>
      <c r="G282" s="31" t="s">
        <v>18</v>
      </c>
      <c r="H282" s="423"/>
      <c r="I282" s="423"/>
      <c r="J282" s="29">
        <v>164.55542499999999</v>
      </c>
    </row>
    <row r="283" spans="1:10" x14ac:dyDescent="0.25">
      <c r="A283" s="364"/>
      <c r="B283" s="364"/>
      <c r="C283" s="364"/>
      <c r="D283" s="364"/>
      <c r="E283" s="364"/>
      <c r="F283" s="31" t="s">
        <v>18</v>
      </c>
      <c r="G283" s="31" t="s">
        <v>18</v>
      </c>
      <c r="H283" s="423"/>
      <c r="I283" s="423"/>
      <c r="J283" s="29">
        <v>108.609737</v>
      </c>
    </row>
    <row r="284" spans="1:10" x14ac:dyDescent="0.25">
      <c r="A284" s="364"/>
      <c r="B284" s="364"/>
      <c r="C284" s="364"/>
      <c r="D284" s="364"/>
      <c r="E284" s="364"/>
      <c r="F284" s="31" t="s">
        <v>18</v>
      </c>
      <c r="G284" s="31" t="s">
        <v>18</v>
      </c>
      <c r="H284" s="423"/>
      <c r="I284" s="423"/>
      <c r="J284" s="29">
        <v>249.38254519999998</v>
      </c>
    </row>
    <row r="285" spans="1:10" x14ac:dyDescent="0.25">
      <c r="A285" s="364"/>
      <c r="B285" s="364"/>
      <c r="C285" s="364"/>
      <c r="D285" s="364"/>
      <c r="E285" s="364"/>
      <c r="F285" s="31" t="s">
        <v>18</v>
      </c>
      <c r="G285" s="31" t="s">
        <v>18</v>
      </c>
      <c r="H285" s="423"/>
      <c r="I285" s="423"/>
      <c r="J285" s="29">
        <v>164.55542499999999</v>
      </c>
    </row>
    <row r="286" spans="1:10" x14ac:dyDescent="0.25">
      <c r="A286" s="364"/>
      <c r="B286" s="364"/>
      <c r="C286" s="364"/>
      <c r="D286" s="364"/>
      <c r="E286" s="364"/>
      <c r="F286" s="31" t="s">
        <v>18</v>
      </c>
      <c r="G286" s="31" t="s">
        <v>18</v>
      </c>
      <c r="H286" s="423"/>
      <c r="I286" s="423"/>
      <c r="J286" s="29">
        <v>114.767213</v>
      </c>
    </row>
    <row r="287" spans="1:10" ht="28.5" x14ac:dyDescent="0.25">
      <c r="A287" s="415" t="s">
        <v>104</v>
      </c>
      <c r="B287" s="382" t="s">
        <v>105</v>
      </c>
      <c r="C287" s="382" t="s">
        <v>106</v>
      </c>
      <c r="D287" s="382">
        <v>6769.35</v>
      </c>
      <c r="E287" s="384">
        <f>SUM(G287:G292)</f>
        <v>6611.7155000000002</v>
      </c>
      <c r="F287" s="56" t="s">
        <v>107</v>
      </c>
      <c r="G287" s="59">
        <f>79484.74/1000</f>
        <v>79.484740000000002</v>
      </c>
      <c r="H287" s="382">
        <f>SUM(J287:J292)</f>
        <v>5835.1024897999996</v>
      </c>
      <c r="I287" s="416" t="s">
        <v>100</v>
      </c>
      <c r="J287" s="60">
        <f>1651360.6*1.18/1000</f>
        <v>1948.6055079999999</v>
      </c>
    </row>
    <row r="288" spans="1:10" ht="28.5" x14ac:dyDescent="0.25">
      <c r="A288" s="415"/>
      <c r="B288" s="382"/>
      <c r="C288" s="382"/>
      <c r="D288" s="382"/>
      <c r="E288" s="384"/>
      <c r="F288" s="56" t="s">
        <v>108</v>
      </c>
      <c r="G288" s="59">
        <f>697128.27/1000</f>
        <v>697.12827000000004</v>
      </c>
      <c r="H288" s="382"/>
      <c r="I288" s="417"/>
      <c r="J288" s="60">
        <f>58658.744/1000</f>
        <v>58.658743999999999</v>
      </c>
    </row>
    <row r="289" spans="1:10" ht="28.5" x14ac:dyDescent="0.25">
      <c r="A289" s="415"/>
      <c r="B289" s="382"/>
      <c r="C289" s="382"/>
      <c r="D289" s="382"/>
      <c r="E289" s="384"/>
      <c r="F289" s="56" t="s">
        <v>109</v>
      </c>
      <c r="G289" s="59">
        <v>2007.2642499999999</v>
      </c>
      <c r="H289" s="382"/>
      <c r="I289" s="28" t="s">
        <v>18</v>
      </c>
      <c r="J289" s="62" t="s">
        <v>18</v>
      </c>
    </row>
    <row r="290" spans="1:10" ht="28.5" x14ac:dyDescent="0.25">
      <c r="A290" s="415"/>
      <c r="B290" s="382"/>
      <c r="C290" s="382"/>
      <c r="D290" s="382"/>
      <c r="E290" s="384"/>
      <c r="F290" s="56" t="s">
        <v>278</v>
      </c>
      <c r="G290" s="29">
        <v>2966.1713399999999</v>
      </c>
      <c r="H290" s="382"/>
      <c r="I290" s="57" t="s">
        <v>151</v>
      </c>
      <c r="J290" s="60">
        <v>228.97817399999997</v>
      </c>
    </row>
    <row r="291" spans="1:10" ht="42.75" x14ac:dyDescent="0.25">
      <c r="A291" s="415"/>
      <c r="B291" s="382"/>
      <c r="C291" s="382"/>
      <c r="D291" s="382"/>
      <c r="E291" s="384"/>
      <c r="F291" s="56" t="s">
        <v>291</v>
      </c>
      <c r="G291" s="29">
        <v>861.66690000000006</v>
      </c>
      <c r="H291" s="382"/>
      <c r="I291" s="57" t="s">
        <v>151</v>
      </c>
      <c r="J291" s="60">
        <v>1916.5643189999998</v>
      </c>
    </row>
    <row r="292" spans="1:10" ht="29.25" thickBot="1" x14ac:dyDescent="0.3">
      <c r="A292" s="415"/>
      <c r="B292" s="382"/>
      <c r="C292" s="382"/>
      <c r="D292" s="382"/>
      <c r="E292" s="384"/>
      <c r="F292" s="63" t="s">
        <v>18</v>
      </c>
      <c r="G292" s="64" t="s">
        <v>18</v>
      </c>
      <c r="H292" s="382"/>
      <c r="I292" s="61" t="s">
        <v>206</v>
      </c>
      <c r="J292" s="65">
        <v>1682.2957448</v>
      </c>
    </row>
    <row r="293" spans="1:10" ht="42.75" x14ac:dyDescent="0.25">
      <c r="A293" s="385" t="s">
        <v>110</v>
      </c>
      <c r="B293" s="48" t="s">
        <v>111</v>
      </c>
      <c r="C293" s="48" t="s">
        <v>112</v>
      </c>
      <c r="D293" s="16">
        <f>12730535.39/1000</f>
        <v>12730.535390000001</v>
      </c>
      <c r="E293" s="17">
        <f>SUM(G293:G293)</f>
        <v>3384.1592099999998</v>
      </c>
      <c r="F293" s="48" t="s">
        <v>113</v>
      </c>
      <c r="G293" s="16">
        <f>3384159.21/1000</f>
        <v>3384.1592099999998</v>
      </c>
      <c r="H293" s="17">
        <f>SUM(J293:J293)</f>
        <v>0</v>
      </c>
      <c r="I293" s="16" t="s">
        <v>18</v>
      </c>
      <c r="J293" s="53" t="s">
        <v>18</v>
      </c>
    </row>
    <row r="294" spans="1:10" ht="63" customHeight="1" x14ac:dyDescent="0.25">
      <c r="A294" s="386"/>
      <c r="B294" s="31" t="s">
        <v>111</v>
      </c>
      <c r="C294" s="31" t="s">
        <v>114</v>
      </c>
      <c r="D294" s="28">
        <v>19677.026999999998</v>
      </c>
      <c r="E294" s="29">
        <f>SUM(G294:G294)</f>
        <v>7747.4874499999996</v>
      </c>
      <c r="F294" s="31" t="s">
        <v>115</v>
      </c>
      <c r="G294" s="28">
        <v>7747.4874499999996</v>
      </c>
      <c r="H294" s="29">
        <f>SUM(J294:J294)</f>
        <v>0</v>
      </c>
      <c r="I294" s="28" t="s">
        <v>18</v>
      </c>
      <c r="J294" s="43" t="s">
        <v>18</v>
      </c>
    </row>
    <row r="295" spans="1:10" ht="28.5" x14ac:dyDescent="0.25">
      <c r="A295" s="386"/>
      <c r="B295" s="423" t="s">
        <v>105</v>
      </c>
      <c r="C295" s="423" t="s">
        <v>148</v>
      </c>
      <c r="D295" s="423">
        <v>6856.6313499999997</v>
      </c>
      <c r="E295" s="423">
        <f>SUM(G295:G299)</f>
        <v>6579.8850499999999</v>
      </c>
      <c r="F295" s="31" t="s">
        <v>189</v>
      </c>
      <c r="G295" s="28">
        <f>2437856.31/1000</f>
        <v>2437.8563100000001</v>
      </c>
      <c r="H295" s="421">
        <f>SUM(J295:J299)</f>
        <v>6579.8850367999994</v>
      </c>
      <c r="I295" s="28" t="s">
        <v>150</v>
      </c>
      <c r="J295" s="30">
        <v>250.55863939999998</v>
      </c>
    </row>
    <row r="296" spans="1:10" ht="28.5" x14ac:dyDescent="0.25">
      <c r="A296" s="386"/>
      <c r="B296" s="423"/>
      <c r="C296" s="423"/>
      <c r="D296" s="423"/>
      <c r="E296" s="423"/>
      <c r="F296" s="31" t="s">
        <v>188</v>
      </c>
      <c r="G296" s="28">
        <f>250558.64/1000</f>
        <v>250.55864000000003</v>
      </c>
      <c r="H296" s="421"/>
      <c r="I296" s="28" t="s">
        <v>149</v>
      </c>
      <c r="J296" s="30">
        <v>2437.8563055999998</v>
      </c>
    </row>
    <row r="297" spans="1:10" ht="28.5" x14ac:dyDescent="0.25">
      <c r="A297" s="386"/>
      <c r="B297" s="423"/>
      <c r="C297" s="423"/>
      <c r="D297" s="423"/>
      <c r="E297" s="423"/>
      <c r="F297" s="31" t="s">
        <v>279</v>
      </c>
      <c r="G297" s="28">
        <v>1955.12644</v>
      </c>
      <c r="H297" s="421"/>
      <c r="I297" s="28" t="s">
        <v>168</v>
      </c>
      <c r="J297" s="30">
        <f>(1656886.81/1000)*1.18</f>
        <v>1955.1264357999999</v>
      </c>
    </row>
    <row r="298" spans="1:10" ht="28.5" x14ac:dyDescent="0.25">
      <c r="A298" s="386"/>
      <c r="B298" s="423"/>
      <c r="C298" s="423"/>
      <c r="D298" s="423"/>
      <c r="E298" s="423"/>
      <c r="F298" s="31" t="s">
        <v>280</v>
      </c>
      <c r="G298" s="28">
        <v>1045.88671</v>
      </c>
      <c r="H298" s="421"/>
      <c r="I298" s="28" t="s">
        <v>210</v>
      </c>
      <c r="J298" s="30">
        <v>1936.343656</v>
      </c>
    </row>
    <row r="299" spans="1:10" ht="43.5" thickBot="1" x14ac:dyDescent="0.3">
      <c r="A299" s="422"/>
      <c r="B299" s="424"/>
      <c r="C299" s="424"/>
      <c r="D299" s="424"/>
      <c r="E299" s="424"/>
      <c r="F299" s="91" t="s">
        <v>292</v>
      </c>
      <c r="G299" s="92">
        <v>890.45695000000001</v>
      </c>
      <c r="H299" s="89"/>
      <c r="I299" s="92"/>
      <c r="J299" s="46"/>
    </row>
    <row r="300" spans="1:10" ht="28.5" customHeight="1" x14ac:dyDescent="0.25">
      <c r="A300" s="509" t="s">
        <v>116</v>
      </c>
      <c r="B300" s="404" t="s">
        <v>117</v>
      </c>
      <c r="C300" s="404" t="s">
        <v>118</v>
      </c>
      <c r="D300" s="404">
        <v>5063.8999999999996</v>
      </c>
      <c r="E300" s="418">
        <f>SUM(G300:G302)</f>
        <v>4582.4028600000001</v>
      </c>
      <c r="F300" s="86" t="s">
        <v>119</v>
      </c>
      <c r="G300" s="84">
        <f>3215238.38/1000</f>
        <v>3215.2383799999998</v>
      </c>
      <c r="H300" s="420">
        <f>SUM(J300:J301)</f>
        <v>722.94101839999996</v>
      </c>
      <c r="I300" s="135" t="s">
        <v>487</v>
      </c>
      <c r="J300" s="131">
        <f>350139.39*1.18/1000</f>
        <v>413.16448020000001</v>
      </c>
    </row>
    <row r="301" spans="1:10" ht="28.5" x14ac:dyDescent="0.25">
      <c r="A301" s="402"/>
      <c r="B301" s="380"/>
      <c r="C301" s="380"/>
      <c r="D301" s="380"/>
      <c r="E301" s="384"/>
      <c r="F301" s="83" t="s">
        <v>120</v>
      </c>
      <c r="G301" s="85">
        <f>954000/1000</f>
        <v>954</v>
      </c>
      <c r="H301" s="421"/>
      <c r="I301" s="261" t="s">
        <v>486</v>
      </c>
      <c r="J301" s="215">
        <f>262522.49*1.18/1000</f>
        <v>309.77653819999995</v>
      </c>
    </row>
    <row r="302" spans="1:10" ht="29.25" thickBot="1" x14ac:dyDescent="0.3">
      <c r="A302" s="403"/>
      <c r="B302" s="405"/>
      <c r="C302" s="405"/>
      <c r="D302" s="405"/>
      <c r="E302" s="419"/>
      <c r="F302" s="114" t="s">
        <v>352</v>
      </c>
      <c r="G302" s="115">
        <f>413164.48/1000</f>
        <v>413.16447999999997</v>
      </c>
      <c r="H302" s="95"/>
      <c r="I302" s="82"/>
      <c r="J302" s="80"/>
    </row>
    <row r="303" spans="1:10" s="6" customFormat="1" ht="29.25" thickBot="1" x14ac:dyDescent="0.3">
      <c r="A303" s="87" t="s">
        <v>121</v>
      </c>
      <c r="B303" s="93" t="s">
        <v>122</v>
      </c>
      <c r="C303" s="112" t="s">
        <v>123</v>
      </c>
      <c r="D303" s="94">
        <v>692.40700000000004</v>
      </c>
      <c r="E303" s="94">
        <f>SUM(G303:G303)</f>
        <v>344.08287999999999</v>
      </c>
      <c r="F303" s="90" t="s">
        <v>124</v>
      </c>
      <c r="G303" s="88">
        <f>344082.88/1000</f>
        <v>344.08287999999999</v>
      </c>
      <c r="H303" s="94">
        <f>SUM(J303:J303)</f>
        <v>0</v>
      </c>
      <c r="I303" s="90" t="s">
        <v>18</v>
      </c>
      <c r="J303" s="66" t="s">
        <v>18</v>
      </c>
    </row>
    <row r="304" spans="1:10" s="6" customFormat="1" ht="15.75" thickBot="1" x14ac:dyDescent="0.3">
      <c r="A304" s="39" t="s">
        <v>125</v>
      </c>
      <c r="B304" s="40"/>
      <c r="C304" s="40"/>
      <c r="D304" s="40"/>
      <c r="E304" s="41">
        <f>SUM(E65:E303)</f>
        <v>340055.01477520005</v>
      </c>
      <c r="F304" s="24"/>
      <c r="G304" s="41">
        <f>SUM(G65:G303)</f>
        <v>340055.01477520011</v>
      </c>
      <c r="H304" s="41">
        <f>SUM(H65:H303)</f>
        <v>462661.32492500031</v>
      </c>
      <c r="I304" s="24"/>
      <c r="J304" s="42">
        <f>SUM(J65:J303)</f>
        <v>462661.32492500014</v>
      </c>
    </row>
    <row r="305" spans="1:10" s="6" customFormat="1" ht="30.75" thickBot="1" x14ac:dyDescent="0.3">
      <c r="A305" s="39" t="s">
        <v>126</v>
      </c>
      <c r="B305" s="40"/>
      <c r="C305" s="40"/>
      <c r="D305" s="40"/>
      <c r="E305" s="41">
        <f>G305</f>
        <v>32329.907593264343</v>
      </c>
      <c r="F305" s="24"/>
      <c r="G305" s="41">
        <v>32329.907593264343</v>
      </c>
      <c r="H305" s="41">
        <f>J305</f>
        <v>32329.907593264343</v>
      </c>
      <c r="I305" s="24"/>
      <c r="J305" s="42">
        <v>32329.907593264343</v>
      </c>
    </row>
    <row r="306" spans="1:10" s="6" customFormat="1" ht="30.75" thickBot="1" x14ac:dyDescent="0.3">
      <c r="A306" s="39" t="s">
        <v>127</v>
      </c>
      <c r="B306" s="40"/>
      <c r="C306" s="40"/>
      <c r="D306" s="40"/>
      <c r="E306" s="41">
        <f>E304+E305</f>
        <v>372384.92236846441</v>
      </c>
      <c r="F306" s="24"/>
      <c r="G306" s="41">
        <f>G304+G305</f>
        <v>372384.92236846447</v>
      </c>
      <c r="H306" s="41">
        <f>H304+H305</f>
        <v>494991.23251826467</v>
      </c>
      <c r="I306" s="24"/>
      <c r="J306" s="42">
        <f>J304+J305</f>
        <v>494991.2325182645</v>
      </c>
    </row>
    <row r="307" spans="1:10" s="6" customFormat="1" ht="45.75" thickBot="1" x14ac:dyDescent="0.3">
      <c r="A307" s="39" t="s">
        <v>128</v>
      </c>
      <c r="B307" s="40"/>
      <c r="C307" s="40"/>
      <c r="D307" s="40"/>
      <c r="E307" s="41">
        <f>E63+E306</f>
        <v>447735.80614821846</v>
      </c>
      <c r="F307" s="24"/>
      <c r="G307" s="41">
        <f>G63+G306</f>
        <v>447735.80614821851</v>
      </c>
      <c r="H307" s="41">
        <f>H63+H306</f>
        <v>513483.14542581874</v>
      </c>
      <c r="I307" s="24"/>
      <c r="J307" s="42">
        <f>J63+J306</f>
        <v>512065.7522588186</v>
      </c>
    </row>
    <row r="308" spans="1:10" s="6" customFormat="1" x14ac:dyDescent="0.25">
      <c r="A308" s="67"/>
      <c r="B308" s="67"/>
      <c r="C308" s="67"/>
      <c r="D308" s="67"/>
      <c r="E308" s="296">
        <v>447735.80550201843</v>
      </c>
      <c r="F308" s="69"/>
      <c r="G308" s="68"/>
      <c r="H308" s="296">
        <v>513483.14544561843</v>
      </c>
      <c r="I308" s="69"/>
      <c r="J308" s="68"/>
    </row>
    <row r="309" spans="1:10" s="6" customFormat="1" x14ac:dyDescent="0.25">
      <c r="A309" s="67"/>
      <c r="B309" s="67"/>
      <c r="C309" s="67"/>
      <c r="D309" s="67"/>
      <c r="E309" s="68">
        <f>E307-E308</f>
        <v>6.46200031042099E-4</v>
      </c>
      <c r="F309" s="69"/>
      <c r="G309" s="68"/>
      <c r="H309" s="68">
        <f>H308-H307</f>
        <v>1.9799685105681419E-5</v>
      </c>
      <c r="I309" s="69"/>
      <c r="J309" s="68"/>
    </row>
    <row r="310" spans="1:10" x14ac:dyDescent="0.25">
      <c r="E310" s="15"/>
      <c r="H310" s="15"/>
    </row>
    <row r="311" spans="1:10" x14ac:dyDescent="0.25">
      <c r="A311" s="517" t="s">
        <v>384</v>
      </c>
      <c r="B311" s="517"/>
      <c r="C311" s="517"/>
      <c r="D311" s="518"/>
      <c r="E311" s="519"/>
      <c r="H311" s="78"/>
    </row>
    <row r="312" spans="1:10" x14ac:dyDescent="0.25">
      <c r="A312" s="520" t="s">
        <v>129</v>
      </c>
      <c r="B312" s="520"/>
      <c r="C312" s="520"/>
      <c r="D312" s="521"/>
      <c r="E312" s="521"/>
    </row>
    <row r="313" spans="1:10" x14ac:dyDescent="0.25">
      <c r="A313" s="520" t="s">
        <v>130</v>
      </c>
      <c r="B313" s="520"/>
      <c r="C313" s="520"/>
      <c r="D313" s="520"/>
      <c r="E313" s="140"/>
      <c r="G313" s="12"/>
    </row>
    <row r="314" spans="1:10" ht="15.75" thickBot="1" x14ac:dyDescent="0.3">
      <c r="A314" s="141"/>
      <c r="B314" s="141"/>
      <c r="C314" s="522"/>
      <c r="D314" s="522"/>
      <c r="E314" s="140"/>
      <c r="F314" s="70"/>
      <c r="G314" s="70"/>
    </row>
    <row r="315" spans="1:10" ht="15.75" thickBot="1" x14ac:dyDescent="0.3">
      <c r="A315" s="142" t="s">
        <v>131</v>
      </c>
      <c r="B315" s="143" t="s">
        <v>132</v>
      </c>
      <c r="C315" s="512" t="s">
        <v>133</v>
      </c>
      <c r="D315" s="513"/>
      <c r="E315" s="140"/>
      <c r="F315" s="70"/>
      <c r="G315" s="70"/>
    </row>
    <row r="316" spans="1:10" ht="15.75" thickBot="1" x14ac:dyDescent="0.3">
      <c r="A316" s="144"/>
      <c r="B316" s="145"/>
      <c r="C316" s="512"/>
      <c r="D316" s="513"/>
      <c r="E316" s="140"/>
      <c r="F316" s="70"/>
      <c r="G316" s="70"/>
    </row>
    <row r="317" spans="1:10" ht="29.25" thickBot="1" x14ac:dyDescent="0.3">
      <c r="A317" s="146" t="s">
        <v>134</v>
      </c>
      <c r="B317" s="147">
        <v>191142.00564101382</v>
      </c>
      <c r="C317" s="514">
        <v>316748.38</v>
      </c>
      <c r="D317" s="515"/>
      <c r="E317" s="148"/>
      <c r="F317" s="70"/>
      <c r="G317" s="70"/>
      <c r="H317" s="70"/>
      <c r="I317" s="70"/>
      <c r="J317" s="71"/>
    </row>
    <row r="318" spans="1:10" ht="15.75" thickBot="1" x14ac:dyDescent="0.3">
      <c r="A318" s="146" t="s">
        <v>135</v>
      </c>
      <c r="B318" s="147">
        <v>244408.15</v>
      </c>
      <c r="C318" s="514">
        <v>244408.15</v>
      </c>
      <c r="D318" s="515"/>
      <c r="E318" s="148"/>
      <c r="F318" s="70"/>
      <c r="G318" s="70"/>
      <c r="H318" s="70"/>
      <c r="I318" s="70"/>
      <c r="J318" s="71"/>
    </row>
    <row r="319" spans="1:10" ht="29.25" thickBot="1" x14ac:dyDescent="0.3">
      <c r="A319" s="146" t="s">
        <v>136</v>
      </c>
      <c r="B319" s="147">
        <v>93195.35</v>
      </c>
      <c r="C319" s="514">
        <v>93183.88</v>
      </c>
      <c r="D319" s="515"/>
      <c r="E319" s="148"/>
      <c r="F319" s="70"/>
      <c r="G319" s="70"/>
      <c r="H319" s="70"/>
      <c r="I319" s="70"/>
      <c r="J319" s="71"/>
    </row>
    <row r="320" spans="1:10" ht="15.75" thickBot="1" x14ac:dyDescent="0.3">
      <c r="A320" s="149" t="s">
        <v>137</v>
      </c>
      <c r="B320" s="150">
        <v>1161.73</v>
      </c>
      <c r="C320" s="510">
        <v>1412.57</v>
      </c>
      <c r="D320" s="516"/>
      <c r="E320" s="148"/>
      <c r="F320" s="70"/>
      <c r="G320" s="70"/>
      <c r="H320" s="70"/>
      <c r="I320" s="70"/>
      <c r="J320" s="71"/>
    </row>
    <row r="321" spans="1:10" ht="15.75" thickBot="1" x14ac:dyDescent="0.3">
      <c r="A321" s="149" t="s">
        <v>138</v>
      </c>
      <c r="B321" s="151">
        <v>92033.63</v>
      </c>
      <c r="C321" s="510">
        <v>91771.31</v>
      </c>
      <c r="D321" s="511"/>
      <c r="E321" s="148"/>
      <c r="F321" s="70"/>
      <c r="G321" s="70"/>
      <c r="H321" s="70"/>
      <c r="I321" s="70"/>
      <c r="J321" s="71"/>
    </row>
    <row r="322" spans="1:10" ht="72" thickBot="1" x14ac:dyDescent="0.3">
      <c r="A322" s="146" t="s">
        <v>143</v>
      </c>
      <c r="B322" s="152">
        <v>313488.53000000003</v>
      </c>
      <c r="C322" s="523">
        <v>302885.82</v>
      </c>
      <c r="D322" s="524"/>
      <c r="E322" s="148"/>
      <c r="F322" s="70"/>
      <c r="G322" s="70"/>
      <c r="H322" s="70"/>
      <c r="I322" s="70"/>
      <c r="J322" s="71"/>
    </row>
    <row r="323" spans="1:10" ht="29.25" thickBot="1" x14ac:dyDescent="0.3">
      <c r="A323" s="146" t="s">
        <v>139</v>
      </c>
      <c r="B323" s="147">
        <v>2684.24</v>
      </c>
      <c r="C323" s="514">
        <v>2684.24</v>
      </c>
      <c r="D323" s="515"/>
      <c r="E323" s="148"/>
      <c r="F323" s="70"/>
      <c r="G323" s="70"/>
      <c r="H323" s="70"/>
      <c r="I323" s="70"/>
      <c r="J323" s="71"/>
    </row>
    <row r="324" spans="1:10" ht="43.5" thickBot="1" x14ac:dyDescent="0.3">
      <c r="A324" s="146" t="s">
        <v>140</v>
      </c>
      <c r="B324" s="147">
        <v>21366.33</v>
      </c>
      <c r="C324" s="514">
        <v>-12469.98</v>
      </c>
      <c r="D324" s="515"/>
      <c r="E324" s="148"/>
      <c r="F324" s="70"/>
      <c r="G324" s="70"/>
      <c r="H324" s="70"/>
      <c r="I324" s="70"/>
      <c r="J324" s="71"/>
    </row>
    <row r="325" spans="1:10" ht="29.25" thickBot="1" x14ac:dyDescent="0.3">
      <c r="A325" s="149" t="s">
        <v>141</v>
      </c>
      <c r="B325" s="151">
        <v>26453.96</v>
      </c>
      <c r="C325" s="510">
        <v>60290.26</v>
      </c>
      <c r="D325" s="511"/>
      <c r="E325" s="148"/>
      <c r="F325" s="70"/>
      <c r="G325" s="70"/>
      <c r="H325" s="70"/>
      <c r="I325" s="70"/>
      <c r="J325" s="71"/>
    </row>
    <row r="326" spans="1:10" ht="24" customHeight="1" thickBot="1" x14ac:dyDescent="0.3">
      <c r="A326" s="149" t="s">
        <v>142</v>
      </c>
      <c r="B326" s="151">
        <v>47820.28</v>
      </c>
      <c r="C326" s="510">
        <v>47820.28</v>
      </c>
      <c r="D326" s="511"/>
      <c r="E326" s="148"/>
      <c r="F326" s="70"/>
      <c r="G326" s="70"/>
      <c r="H326" s="70"/>
      <c r="I326" s="70"/>
      <c r="J326" s="71"/>
    </row>
    <row r="327" spans="1:10" x14ac:dyDescent="0.25">
      <c r="B327" s="15"/>
      <c r="D327" s="15"/>
      <c r="E327" s="70"/>
      <c r="F327" s="70"/>
      <c r="G327" s="70"/>
      <c r="H327" s="70"/>
      <c r="I327" s="70"/>
      <c r="J327" s="71"/>
    </row>
    <row r="328" spans="1:10" x14ac:dyDescent="0.25">
      <c r="E328" s="70"/>
      <c r="F328" s="70"/>
      <c r="G328" s="70"/>
      <c r="H328" s="70"/>
      <c r="I328" s="70"/>
    </row>
    <row r="329" spans="1:10" ht="48" customHeight="1" x14ac:dyDescent="0.25">
      <c r="A329" s="72" t="s">
        <v>144</v>
      </c>
      <c r="B329" s="73"/>
      <c r="C329" s="71"/>
      <c r="D329" s="71"/>
      <c r="E329" s="74" t="s">
        <v>145</v>
      </c>
      <c r="G329" s="71"/>
      <c r="J329" s="1"/>
    </row>
    <row r="330" spans="1:10" x14ac:dyDescent="0.25">
      <c r="A330" s="72"/>
      <c r="B330" s="74"/>
      <c r="C330" s="74"/>
      <c r="G330" s="71"/>
      <c r="J330" s="1"/>
    </row>
    <row r="331" spans="1:10" x14ac:dyDescent="0.25">
      <c r="A331" s="72"/>
      <c r="B331" s="74"/>
      <c r="C331" s="74"/>
      <c r="G331" s="71"/>
      <c r="J331" s="1"/>
    </row>
    <row r="332" spans="1:10" x14ac:dyDescent="0.25">
      <c r="A332" s="72"/>
      <c r="B332" s="74"/>
      <c r="C332" s="74"/>
      <c r="G332" s="71"/>
      <c r="J332" s="1"/>
    </row>
    <row r="333" spans="1:10" x14ac:dyDescent="0.25">
      <c r="A333" s="72"/>
      <c r="B333" s="74"/>
      <c r="C333" s="74"/>
      <c r="G333" s="71"/>
      <c r="J333" s="1"/>
    </row>
    <row r="334" spans="1:10" ht="44.25" customHeight="1" x14ac:dyDescent="0.25">
      <c r="A334" s="72" t="s">
        <v>146</v>
      </c>
      <c r="B334" s="74"/>
      <c r="C334" s="71"/>
      <c r="D334" s="71"/>
      <c r="E334" s="74" t="s">
        <v>147</v>
      </c>
      <c r="G334" s="71"/>
      <c r="J334" s="1"/>
    </row>
  </sheetData>
  <mergeCells count="247">
    <mergeCell ref="J20:J21"/>
    <mergeCell ref="H20:H21"/>
    <mergeCell ref="I20:I21"/>
    <mergeCell ref="G20:G21"/>
    <mergeCell ref="H26:H28"/>
    <mergeCell ref="E26:E28"/>
    <mergeCell ref="D26:D28"/>
    <mergeCell ref="C20:C21"/>
    <mergeCell ref="D20:D21"/>
    <mergeCell ref="E20:E21"/>
    <mergeCell ref="D22:D23"/>
    <mergeCell ref="E22:E23"/>
    <mergeCell ref="C22:C23"/>
    <mergeCell ref="F20:F21"/>
    <mergeCell ref="A8:J8"/>
    <mergeCell ref="B9:B10"/>
    <mergeCell ref="B15:B16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I9:I10"/>
    <mergeCell ref="J9:J10"/>
    <mergeCell ref="I15:I16"/>
    <mergeCell ref="J15:J16"/>
    <mergeCell ref="F9:F10"/>
    <mergeCell ref="G9:G10"/>
    <mergeCell ref="H9:H10"/>
    <mergeCell ref="E15:E16"/>
    <mergeCell ref="A22:A23"/>
    <mergeCell ref="B22:B23"/>
    <mergeCell ref="B50:C50"/>
    <mergeCell ref="B14:C14"/>
    <mergeCell ref="A9:A14"/>
    <mergeCell ref="A15:A19"/>
    <mergeCell ref="F15:F16"/>
    <mergeCell ref="G15:G16"/>
    <mergeCell ref="H15:H16"/>
    <mergeCell ref="E9:E10"/>
    <mergeCell ref="C9:C10"/>
    <mergeCell ref="C15:C16"/>
    <mergeCell ref="D9:D10"/>
    <mergeCell ref="D15:D16"/>
    <mergeCell ref="A20:A21"/>
    <mergeCell ref="B20:B21"/>
    <mergeCell ref="H29:H32"/>
    <mergeCell ref="A52:A53"/>
    <mergeCell ref="B36:B38"/>
    <mergeCell ref="C36:C38"/>
    <mergeCell ref="D36:D38"/>
    <mergeCell ref="A26:A51"/>
    <mergeCell ref="C26:C28"/>
    <mergeCell ref="B26:B28"/>
    <mergeCell ref="B48:C48"/>
    <mergeCell ref="B49:C49"/>
    <mergeCell ref="H65:H79"/>
    <mergeCell ref="B120:C120"/>
    <mergeCell ref="B99:C99"/>
    <mergeCell ref="B98:C98"/>
    <mergeCell ref="B87:C87"/>
    <mergeCell ref="E101:E115"/>
    <mergeCell ref="B29:B32"/>
    <mergeCell ref="C29:C32"/>
    <mergeCell ref="D29:D32"/>
    <mergeCell ref="E29:E32"/>
    <mergeCell ref="B47:C47"/>
    <mergeCell ref="A64:J64"/>
    <mergeCell ref="E65:E79"/>
    <mergeCell ref="E40:E42"/>
    <mergeCell ref="A65:A87"/>
    <mergeCell ref="B40:B42"/>
    <mergeCell ref="C40:C42"/>
    <mergeCell ref="D40:D42"/>
    <mergeCell ref="E36:E38"/>
    <mergeCell ref="B65:B79"/>
    <mergeCell ref="C65:C79"/>
    <mergeCell ref="D65:D79"/>
    <mergeCell ref="A54:A55"/>
    <mergeCell ref="H101:H115"/>
    <mergeCell ref="C326:D326"/>
    <mergeCell ref="C315:D315"/>
    <mergeCell ref="C316:D316"/>
    <mergeCell ref="C317:D317"/>
    <mergeCell ref="C318:D318"/>
    <mergeCell ref="C319:D319"/>
    <mergeCell ref="C320:D320"/>
    <mergeCell ref="A311:C311"/>
    <mergeCell ref="D311:E311"/>
    <mergeCell ref="A312:C312"/>
    <mergeCell ref="D312:E312"/>
    <mergeCell ref="A313:D313"/>
    <mergeCell ref="C314:D314"/>
    <mergeCell ref="C321:D321"/>
    <mergeCell ref="C322:D322"/>
    <mergeCell ref="C323:D323"/>
    <mergeCell ref="C324:D324"/>
    <mergeCell ref="C325:D325"/>
    <mergeCell ref="D295:D299"/>
    <mergeCell ref="E295:E299"/>
    <mergeCell ref="A300:A302"/>
    <mergeCell ref="B300:B302"/>
    <mergeCell ref="C300:C302"/>
    <mergeCell ref="D300:D302"/>
    <mergeCell ref="E300:E302"/>
    <mergeCell ref="I287:I288"/>
    <mergeCell ref="H276:H286"/>
    <mergeCell ref="A276:A286"/>
    <mergeCell ref="B276:B286"/>
    <mergeCell ref="I281:I286"/>
    <mergeCell ref="H287:H292"/>
    <mergeCell ref="H300:H301"/>
    <mergeCell ref="H295:H298"/>
    <mergeCell ref="A293:A299"/>
    <mergeCell ref="B295:B299"/>
    <mergeCell ref="C295:C299"/>
    <mergeCell ref="E287:E292"/>
    <mergeCell ref="A287:A292"/>
    <mergeCell ref="B287:B292"/>
    <mergeCell ref="C287:C292"/>
    <mergeCell ref="D287:D292"/>
    <mergeCell ref="I276:I277"/>
    <mergeCell ref="I278:I279"/>
    <mergeCell ref="H272:H275"/>
    <mergeCell ref="D272:D275"/>
    <mergeCell ref="B272:B275"/>
    <mergeCell ref="C272:C275"/>
    <mergeCell ref="E272:E275"/>
    <mergeCell ref="I273:I275"/>
    <mergeCell ref="C276:C286"/>
    <mergeCell ref="D276:D286"/>
    <mergeCell ref="E276:E286"/>
    <mergeCell ref="B269:C269"/>
    <mergeCell ref="A272:A275"/>
    <mergeCell ref="D233:D234"/>
    <mergeCell ref="A232:A245"/>
    <mergeCell ref="A248:A249"/>
    <mergeCell ref="B250:B264"/>
    <mergeCell ref="C250:C264"/>
    <mergeCell ref="D250:D264"/>
    <mergeCell ref="B166:B167"/>
    <mergeCell ref="C166:C167"/>
    <mergeCell ref="D166:D167"/>
    <mergeCell ref="B265:C265"/>
    <mergeCell ref="B266:C266"/>
    <mergeCell ref="B267:C267"/>
    <mergeCell ref="B268:C268"/>
    <mergeCell ref="B270:C270"/>
    <mergeCell ref="B271:C271"/>
    <mergeCell ref="B233:B234"/>
    <mergeCell ref="C233:C234"/>
    <mergeCell ref="C228:C230"/>
    <mergeCell ref="A226:A230"/>
    <mergeCell ref="B228:B230"/>
    <mergeCell ref="A246:A247"/>
    <mergeCell ref="B246:B247"/>
    <mergeCell ref="F104:F105"/>
    <mergeCell ref="E233:E234"/>
    <mergeCell ref="D239:D242"/>
    <mergeCell ref="A212:A221"/>
    <mergeCell ref="B135:B136"/>
    <mergeCell ref="C135:C136"/>
    <mergeCell ref="D135:D136"/>
    <mergeCell ref="E135:E136"/>
    <mergeCell ref="D228:D230"/>
    <mergeCell ref="B236:B238"/>
    <mergeCell ref="C236:C238"/>
    <mergeCell ref="D236:D238"/>
    <mergeCell ref="C101:C105"/>
    <mergeCell ref="D101:D105"/>
    <mergeCell ref="C106:C115"/>
    <mergeCell ref="D106:D115"/>
    <mergeCell ref="E228:E230"/>
    <mergeCell ref="E236:E238"/>
    <mergeCell ref="B130:C130"/>
    <mergeCell ref="B131:C131"/>
    <mergeCell ref="B132:C132"/>
    <mergeCell ref="B121:C121"/>
    <mergeCell ref="B122:C122"/>
    <mergeCell ref="B224:C224"/>
    <mergeCell ref="B164:C164"/>
    <mergeCell ref="B210:D210"/>
    <mergeCell ref="J153:J156"/>
    <mergeCell ref="E153:E156"/>
    <mergeCell ref="H153:H156"/>
    <mergeCell ref="I159:I160"/>
    <mergeCell ref="A134:A160"/>
    <mergeCell ref="B153:C153"/>
    <mergeCell ref="A250:A271"/>
    <mergeCell ref="E166:E167"/>
    <mergeCell ref="A166:A186"/>
    <mergeCell ref="A161:A165"/>
    <mergeCell ref="E246:E247"/>
    <mergeCell ref="E239:E242"/>
    <mergeCell ref="B239:B242"/>
    <mergeCell ref="C239:C242"/>
    <mergeCell ref="I153:I156"/>
    <mergeCell ref="H246:H247"/>
    <mergeCell ref="E161:E163"/>
    <mergeCell ref="B161:B163"/>
    <mergeCell ref="C161:C163"/>
    <mergeCell ref="D161:D163"/>
    <mergeCell ref="B245:C245"/>
    <mergeCell ref="H161:H163"/>
    <mergeCell ref="H89:H97"/>
    <mergeCell ref="E89:E97"/>
    <mergeCell ref="B89:B97"/>
    <mergeCell ref="C89:C97"/>
    <mergeCell ref="D89:D97"/>
    <mergeCell ref="B211:D211"/>
    <mergeCell ref="B100:C100"/>
    <mergeCell ref="B225:C225"/>
    <mergeCell ref="B141:B143"/>
    <mergeCell ref="C141:C143"/>
    <mergeCell ref="B147:B148"/>
    <mergeCell ref="C147:C148"/>
    <mergeCell ref="B123:B125"/>
    <mergeCell ref="D123:D125"/>
    <mergeCell ref="B182:B183"/>
    <mergeCell ref="C182:C183"/>
    <mergeCell ref="D182:D183"/>
    <mergeCell ref="E182:E183"/>
    <mergeCell ref="B189:B190"/>
    <mergeCell ref="B126:C126"/>
    <mergeCell ref="B101:B115"/>
    <mergeCell ref="B127:C127"/>
    <mergeCell ref="B128:C128"/>
    <mergeCell ref="B129:C129"/>
    <mergeCell ref="E250:E264"/>
    <mergeCell ref="H250:H264"/>
    <mergeCell ref="B212:B214"/>
    <mergeCell ref="C212:C214"/>
    <mergeCell ref="D212:D214"/>
    <mergeCell ref="E212:E214"/>
    <mergeCell ref="H212:H214"/>
    <mergeCell ref="B221:B222"/>
    <mergeCell ref="C221:C222"/>
    <mergeCell ref="D221:D222"/>
    <mergeCell ref="E221:E222"/>
    <mergeCell ref="C246:C247"/>
    <mergeCell ref="B244:C244"/>
    <mergeCell ref="D246:D247"/>
  </mergeCells>
  <pageMargins left="0" right="0" top="0" bottom="0" header="0" footer="0"/>
  <pageSetup paperSize="9" scale="48" fitToHeight="0" orientation="portrait" r:id="rId1"/>
  <rowBreaks count="2" manualBreakCount="2">
    <brk id="231" max="9" man="1"/>
    <brk id="299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Итоговый файл</vt:lpstr>
      <vt:lpstr>12 месяцев 2017</vt:lpstr>
      <vt:lpstr>'12 месяцев 2017'!Заголовки_для_печати</vt:lpstr>
      <vt:lpstr>'Итоговый файл'!Заголовки_для_печати</vt:lpstr>
      <vt:lpstr>'12 месяцев 2017'!Область_печати</vt:lpstr>
      <vt:lpstr>'Итоговый файл'!Область_печати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2018-02-01T06:54:48Z</dcterms:modified>
</cp:coreProperties>
</file>