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я+ф+м+а+м+и 2016 для админ" sheetId="4" r:id="rId1"/>
    <sheet name="Лист1" sheetId="1" r:id="rId2"/>
    <sheet name="Лист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K158" i="4" l="1"/>
  <c r="I158" i="4"/>
  <c r="H158" i="4"/>
  <c r="F158" i="4" s="1"/>
  <c r="E158" i="4"/>
  <c r="K157" i="4"/>
  <c r="I157" i="4" s="1"/>
  <c r="H157" i="4"/>
  <c r="F157" i="4"/>
  <c r="I156" i="4"/>
  <c r="H156" i="4"/>
  <c r="F156" i="4" s="1"/>
  <c r="H155" i="4"/>
  <c r="H154" i="4"/>
  <c r="H153" i="4"/>
  <c r="H152" i="4"/>
  <c r="I151" i="4"/>
  <c r="H151" i="4"/>
  <c r="F151" i="4" s="1"/>
  <c r="E151" i="4"/>
  <c r="I150" i="4"/>
  <c r="H150" i="4"/>
  <c r="F150" i="4" s="1"/>
  <c r="I149" i="4"/>
  <c r="H149" i="4"/>
  <c r="F149" i="4"/>
  <c r="K148" i="4"/>
  <c r="I148" i="4"/>
  <c r="H148" i="4"/>
  <c r="F148" i="4"/>
  <c r="K147" i="4"/>
  <c r="I147" i="4"/>
  <c r="H147" i="4"/>
  <c r="F147" i="4"/>
  <c r="K146" i="4"/>
  <c r="I146" i="4"/>
  <c r="H146" i="4"/>
  <c r="F146" i="4"/>
  <c r="K145" i="4"/>
  <c r="I145" i="4"/>
  <c r="H145" i="4"/>
  <c r="F145" i="4"/>
  <c r="K144" i="4"/>
  <c r="I144" i="4"/>
  <c r="H144" i="4"/>
  <c r="F144" i="4"/>
  <c r="K143" i="4"/>
  <c r="I143" i="4"/>
  <c r="H143" i="4"/>
  <c r="F143" i="4"/>
  <c r="K142" i="4"/>
  <c r="I142" i="4"/>
  <c r="H142" i="4"/>
  <c r="F142" i="4"/>
  <c r="I141" i="4"/>
  <c r="H141" i="4"/>
  <c r="F141" i="4"/>
  <c r="K140" i="4"/>
  <c r="I140" i="4" s="1"/>
  <c r="H140" i="4"/>
  <c r="F140" i="4"/>
  <c r="K139" i="4"/>
  <c r="I139" i="4" s="1"/>
  <c r="H139" i="4"/>
  <c r="F139" i="4"/>
  <c r="K138" i="4"/>
  <c r="I138" i="4" s="1"/>
  <c r="H138" i="4"/>
  <c r="F138" i="4"/>
  <c r="K137" i="4"/>
  <c r="I137" i="4" s="1"/>
  <c r="H137" i="4"/>
  <c r="F137" i="4"/>
  <c r="K136" i="4"/>
  <c r="I136" i="4" s="1"/>
  <c r="H136" i="4"/>
  <c r="F136" i="4"/>
  <c r="K135" i="4"/>
  <c r="I135" i="4" s="1"/>
  <c r="H135" i="4"/>
  <c r="F135" i="4"/>
  <c r="K134" i="4"/>
  <c r="I134" i="4" s="1"/>
  <c r="F134" i="4"/>
  <c r="K133" i="4"/>
  <c r="I133" i="4"/>
  <c r="H133" i="4"/>
  <c r="F133" i="4"/>
  <c r="I132" i="4"/>
  <c r="H132" i="4"/>
  <c r="F132" i="4" s="1"/>
  <c r="K131" i="4"/>
  <c r="K130" i="4"/>
  <c r="K129" i="4"/>
  <c r="K128" i="4"/>
  <c r="K127" i="4"/>
  <c r="K126" i="4"/>
  <c r="K125" i="4"/>
  <c r="K124" i="4"/>
  <c r="K123" i="4"/>
  <c r="K122" i="4"/>
  <c r="K121" i="4"/>
  <c r="K120" i="4"/>
  <c r="K119" i="4"/>
  <c r="K118" i="4"/>
  <c r="K117" i="4"/>
  <c r="I115" i="4" s="1"/>
  <c r="K116" i="4"/>
  <c r="K115" i="4"/>
  <c r="F115" i="4"/>
  <c r="E115" i="4"/>
  <c r="I114" i="4"/>
  <c r="F114" i="4"/>
  <c r="E114" i="4"/>
  <c r="K113" i="4"/>
  <c r="I113" i="4"/>
  <c r="H113" i="4"/>
  <c r="F113" i="4"/>
  <c r="K112" i="4"/>
  <c r="I112" i="4"/>
  <c r="H112" i="4"/>
  <c r="F112" i="4"/>
  <c r="K111" i="4"/>
  <c r="I111" i="4"/>
  <c r="F111" i="4"/>
  <c r="K110" i="4"/>
  <c r="I110" i="4" s="1"/>
  <c r="F110" i="4"/>
  <c r="K109" i="4"/>
  <c r="H109" i="4" s="1"/>
  <c r="F109" i="4" s="1"/>
  <c r="I109" i="4"/>
  <c r="K108" i="4"/>
  <c r="I108" i="4"/>
  <c r="H108" i="4"/>
  <c r="F108" i="4"/>
  <c r="K107" i="4"/>
  <c r="I107" i="4"/>
  <c r="H107" i="4"/>
  <c r="F107" i="4"/>
  <c r="K106" i="4"/>
  <c r="I106" i="4"/>
  <c r="H106" i="4"/>
  <c r="F106" i="4"/>
  <c r="K105" i="4"/>
  <c r="I105" i="4"/>
  <c r="H105" i="4"/>
  <c r="F105" i="4"/>
  <c r="K104" i="4"/>
  <c r="I104" i="4"/>
  <c r="H104" i="4"/>
  <c r="F104" i="4"/>
  <c r="K103" i="4"/>
  <c r="I103" i="4"/>
  <c r="H103" i="4"/>
  <c r="F103" i="4"/>
  <c r="K102" i="4"/>
  <c r="I102" i="4"/>
  <c r="H102" i="4"/>
  <c r="F102" i="4"/>
  <c r="I101" i="4"/>
  <c r="H101" i="4"/>
  <c r="F101" i="4" s="1"/>
  <c r="I100" i="4"/>
  <c r="H100" i="4"/>
  <c r="F100" i="4"/>
  <c r="K99" i="4"/>
  <c r="I99" i="4"/>
  <c r="H99" i="4"/>
  <c r="F99" i="4"/>
  <c r="K98" i="4"/>
  <c r="I98" i="4"/>
  <c r="H98" i="4"/>
  <c r="F98" i="4"/>
  <c r="K97" i="4"/>
  <c r="I97" i="4"/>
  <c r="H97" i="4"/>
  <c r="F97" i="4"/>
  <c r="K96" i="4"/>
  <c r="I96" i="4"/>
  <c r="H96" i="4"/>
  <c r="F96" i="4"/>
  <c r="K95" i="4"/>
  <c r="I95" i="4"/>
  <c r="H95" i="4"/>
  <c r="F95" i="4"/>
  <c r="K94" i="4"/>
  <c r="I94" i="4"/>
  <c r="H94" i="4"/>
  <c r="F94" i="4"/>
  <c r="K93" i="4"/>
  <c r="I93" i="4"/>
  <c r="H93" i="4"/>
  <c r="F93" i="4"/>
  <c r="K92" i="4"/>
  <c r="I92" i="4"/>
  <c r="H92" i="4"/>
  <c r="F92" i="4"/>
  <c r="K91" i="4"/>
  <c r="I91" i="4"/>
  <c r="H91" i="4"/>
  <c r="F91" i="4"/>
  <c r="K90" i="4"/>
  <c r="I90" i="4"/>
  <c r="H90" i="4"/>
  <c r="F90" i="4"/>
  <c r="K89" i="4"/>
  <c r="I89" i="4"/>
  <c r="H89" i="4"/>
  <c r="F89" i="4"/>
  <c r="H88" i="4"/>
  <c r="K88" i="4" s="1"/>
  <c r="I88" i="4" s="1"/>
  <c r="F88" i="4"/>
  <c r="H87" i="4"/>
  <c r="I86" i="4"/>
  <c r="H86" i="4"/>
  <c r="F86" i="4"/>
  <c r="E86" i="4"/>
  <c r="H85" i="4"/>
  <c r="H84" i="4"/>
  <c r="H83" i="4"/>
  <c r="F82" i="4" s="1"/>
  <c r="I82" i="4"/>
  <c r="H82" i="4"/>
  <c r="H81" i="4"/>
  <c r="H80" i="4"/>
  <c r="H79" i="4"/>
  <c r="H78" i="4"/>
  <c r="H77" i="4"/>
  <c r="H76" i="4"/>
  <c r="H75" i="4"/>
  <c r="H74" i="4"/>
  <c r="F73" i="4" s="1"/>
  <c r="I73" i="4"/>
  <c r="H73" i="4"/>
  <c r="E73" i="4"/>
  <c r="I72" i="4"/>
  <c r="H72" i="4"/>
  <c r="F72" i="4"/>
  <c r="I71" i="4"/>
  <c r="H71" i="4"/>
  <c r="F71" i="4" s="1"/>
  <c r="E71" i="4"/>
  <c r="I70" i="4"/>
  <c r="H70" i="4"/>
  <c r="F70" i="4" s="1"/>
  <c r="E70" i="4"/>
  <c r="K69" i="4"/>
  <c r="K68" i="4"/>
  <c r="H68" i="4"/>
  <c r="K67" i="4"/>
  <c r="H67" i="4"/>
  <c r="K66" i="4"/>
  <c r="I66" i="4" s="1"/>
  <c r="H66" i="4"/>
  <c r="F66" i="4"/>
  <c r="E66" i="4"/>
  <c r="K65" i="4"/>
  <c r="K64" i="4"/>
  <c r="K63" i="4"/>
  <c r="H63" i="4"/>
  <c r="F61" i="4" s="1"/>
  <c r="K62" i="4"/>
  <c r="H62" i="4"/>
  <c r="K61" i="4"/>
  <c r="I61" i="4"/>
  <c r="H61" i="4"/>
  <c r="E61" i="4"/>
  <c r="H60" i="4"/>
  <c r="K59" i="4"/>
  <c r="H59" i="4"/>
  <c r="K58" i="4"/>
  <c r="H58" i="4"/>
  <c r="K57" i="4"/>
  <c r="H57" i="4"/>
  <c r="F57" i="4"/>
  <c r="H56" i="4"/>
  <c r="H159" i="4" s="1"/>
  <c r="F56" i="4"/>
  <c r="F159" i="4" s="1"/>
  <c r="I53" i="4"/>
  <c r="H53" i="4"/>
  <c r="F53" i="4" s="1"/>
  <c r="E53" i="4"/>
  <c r="I52" i="4"/>
  <c r="H52" i="4"/>
  <c r="F52" i="4" s="1"/>
  <c r="K51" i="4"/>
  <c r="I51" i="4"/>
  <c r="H51" i="4"/>
  <c r="F51" i="4" s="1"/>
  <c r="K50" i="4"/>
  <c r="I50" i="4"/>
  <c r="H50" i="4"/>
  <c r="F50" i="4" s="1"/>
  <c r="I49" i="4"/>
  <c r="H49" i="4"/>
  <c r="F49" i="4"/>
  <c r="I48" i="4"/>
  <c r="H48" i="4"/>
  <c r="F48" i="4"/>
  <c r="K47" i="4"/>
  <c r="I47" i="4" s="1"/>
  <c r="H47" i="4"/>
  <c r="F47" i="4"/>
  <c r="K46" i="4"/>
  <c r="I46" i="4" s="1"/>
  <c r="H46" i="4"/>
  <c r="F46" i="4"/>
  <c r="K45" i="4"/>
  <c r="I45" i="4" s="1"/>
  <c r="H45" i="4"/>
  <c r="F45" i="4"/>
  <c r="K44" i="4"/>
  <c r="I44" i="4" s="1"/>
  <c r="H44" i="4"/>
  <c r="F44" i="4"/>
  <c r="K43" i="4"/>
  <c r="I43" i="4" s="1"/>
  <c r="H43" i="4"/>
  <c r="F43" i="4"/>
  <c r="I42" i="4"/>
  <c r="H42" i="4"/>
  <c r="F42" i="4"/>
  <c r="K41" i="4"/>
  <c r="I41" i="4"/>
  <c r="H41" i="4"/>
  <c r="F41" i="4"/>
  <c r="K40" i="4"/>
  <c r="I40" i="4"/>
  <c r="H40" i="4"/>
  <c r="F40" i="4"/>
  <c r="K39" i="4"/>
  <c r="I39" i="4"/>
  <c r="H39" i="4"/>
  <c r="F39" i="4"/>
  <c r="K38" i="4"/>
  <c r="I38" i="4"/>
  <c r="H38" i="4"/>
  <c r="F38" i="4"/>
  <c r="K37" i="4"/>
  <c r="K54" i="4" s="1"/>
  <c r="I37" i="4"/>
  <c r="H37" i="4"/>
  <c r="F37" i="4"/>
  <c r="I36" i="4"/>
  <c r="H36" i="4"/>
  <c r="F36" i="4" s="1"/>
  <c r="K35" i="4"/>
  <c r="I35" i="4"/>
  <c r="H35" i="4"/>
  <c r="F35" i="4" s="1"/>
  <c r="K34" i="4"/>
  <c r="I34" i="4"/>
  <c r="H34" i="4"/>
  <c r="F34" i="4" s="1"/>
  <c r="K33" i="4"/>
  <c r="I33" i="4"/>
  <c r="H33" i="4"/>
  <c r="F33" i="4" s="1"/>
  <c r="K32" i="4"/>
  <c r="I32" i="4"/>
  <c r="H32" i="4"/>
  <c r="F32" i="4" s="1"/>
  <c r="K31" i="4"/>
  <c r="I31" i="4"/>
  <c r="H31" i="4"/>
  <c r="F31" i="4" s="1"/>
  <c r="K30" i="4"/>
  <c r="I30" i="4"/>
  <c r="H30" i="4"/>
  <c r="F30" i="4" s="1"/>
  <c r="K29" i="4"/>
  <c r="I29" i="4"/>
  <c r="H29" i="4"/>
  <c r="F29" i="4" s="1"/>
  <c r="K28" i="4"/>
  <c r="I28" i="4"/>
  <c r="H28" i="4"/>
  <c r="F28" i="4" s="1"/>
  <c r="K27" i="4"/>
  <c r="I27" i="4"/>
  <c r="I26" i="4"/>
  <c r="H26" i="4"/>
  <c r="F26" i="4"/>
  <c r="I25" i="4"/>
  <c r="H25" i="4"/>
  <c r="F25" i="4" s="1"/>
  <c r="K23" i="4"/>
  <c r="I23" i="4"/>
  <c r="H23" i="4"/>
  <c r="F23" i="4" s="1"/>
  <c r="K22" i="4"/>
  <c r="I22" i="4"/>
  <c r="H22" i="4"/>
  <c r="F22" i="4" s="1"/>
  <c r="K21" i="4"/>
  <c r="I21" i="4"/>
  <c r="H21" i="4"/>
  <c r="F21" i="4" s="1"/>
  <c r="K20" i="4"/>
  <c r="I20" i="4"/>
  <c r="H20" i="4"/>
  <c r="F20" i="4" s="1"/>
  <c r="K19" i="4"/>
  <c r="I19" i="4"/>
  <c r="H19" i="4"/>
  <c r="F19" i="4" s="1"/>
  <c r="K18" i="4"/>
  <c r="I18" i="4"/>
  <c r="H18" i="4"/>
  <c r="F18" i="4" s="1"/>
  <c r="I17" i="4"/>
  <c r="H17" i="4"/>
  <c r="F17" i="4"/>
  <c r="K16" i="4"/>
  <c r="I16" i="4"/>
  <c r="H16" i="4"/>
  <c r="F16" i="4"/>
  <c r="K15" i="4"/>
  <c r="I15" i="4"/>
  <c r="H15" i="4"/>
  <c r="F15" i="4"/>
  <c r="K14" i="4"/>
  <c r="I14" i="4"/>
  <c r="H14" i="4"/>
  <c r="F14" i="4"/>
  <c r="K13" i="4"/>
  <c r="I13" i="4"/>
  <c r="H13" i="4"/>
  <c r="F13" i="4"/>
  <c r="K12" i="4"/>
  <c r="I12" i="4"/>
  <c r="H12" i="4"/>
  <c r="F12" i="4"/>
  <c r="I11" i="4"/>
  <c r="H11" i="4"/>
  <c r="F11" i="4"/>
  <c r="I10" i="4"/>
  <c r="H10" i="4"/>
  <c r="F10" i="4"/>
  <c r="I9" i="4"/>
  <c r="H9" i="4"/>
  <c r="H54" i="4" s="1"/>
  <c r="E9" i="4"/>
  <c r="K159" i="4" l="1"/>
  <c r="K160" i="4" s="1"/>
  <c r="H160" i="4"/>
  <c r="I54" i="4"/>
  <c r="I160" i="4" s="1"/>
  <c r="I57" i="4"/>
  <c r="I159" i="4" s="1"/>
  <c r="F9" i="4"/>
  <c r="F54" i="4" s="1"/>
  <c r="F160" i="4" s="1"/>
</calcChain>
</file>

<file path=xl/sharedStrings.xml><?xml version="1.0" encoding="utf-8"?>
<sst xmlns="http://schemas.openxmlformats.org/spreadsheetml/2006/main" count="555" uniqueCount="206">
  <si>
    <t>ОТЧЕТ</t>
  </si>
  <si>
    <t>январь-июнь 2016 г.</t>
  </si>
  <si>
    <t>Наименование целевого показателя и мероприятий</t>
  </si>
  <si>
    <t>Подрядчик</t>
  </si>
  <si>
    <t>Стоимость мероприятий по договору, тыс. руб., (с НДС)</t>
  </si>
  <si>
    <t>Фактическое финансирование тыс. руб., (с НДС)</t>
  </si>
  <si>
    <t>Платежное поручение</t>
  </si>
  <si>
    <t>Фактическое выполнение, тыс. руб., (с НДС)</t>
  </si>
  <si>
    <t>Обоснование</t>
  </si>
  <si>
    <t>Наименование</t>
  </si>
  <si>
    <t>№ и дата договора</t>
  </si>
  <si>
    <t>№, дата</t>
  </si>
  <si>
    <t>сумма, тыс. руб.</t>
  </si>
  <si>
    <t>ВОДОСНАБЖЕНИЕ</t>
  </si>
  <si>
    <t>Строительство ВПС-21 (Геологоразведочные работы, ПИР) (Модернизация ВПС-21)</t>
  </si>
  <si>
    <t>ООО ВПФ "ПССВ"</t>
  </si>
  <si>
    <t>477/14 от 24.07.14</t>
  </si>
  <si>
    <t>№702 от 16.02.2016</t>
  </si>
  <si>
    <t>__</t>
  </si>
  <si>
    <t>ООО "РВК-консалтинг"</t>
  </si>
  <si>
    <t>488/14 от 04.06.14</t>
  </si>
  <si>
    <t xml:space="preserve"> 2428,636 в месяц</t>
  </si>
  <si>
    <t>№944 от 26.02.2016</t>
  </si>
  <si>
    <t>ФГБУ "Центрально-Черноземное УГМС"</t>
  </si>
  <si>
    <t>№1660 от 11.04.2016</t>
  </si>
  <si>
    <t>Оплата труда, страховые взносы (январь)</t>
  </si>
  <si>
    <t>Оплата труда, страховые взносы (февраль)</t>
  </si>
  <si>
    <t>Оплата труда, страховые взносы (март)</t>
  </si>
  <si>
    <t>Оплата труда, страховые взносы (апрель)</t>
  </si>
  <si>
    <t>Оплата труда, страховые взносы (май)</t>
  </si>
  <si>
    <t>Оплата труда, страховые взносы (июнь)</t>
  </si>
  <si>
    <t>Автоматизация ПНС (монтаж шкафов автоматизации)</t>
  </si>
  <si>
    <t>Установка вантузов и регуляторов давления. ПИР и СМР. Модернизация водопроводной сети путем установки вантузов. (Установка вантузов и регуляторов давления)</t>
  </si>
  <si>
    <t>ООО "ДиТиАй"</t>
  </si>
  <si>
    <t>492/15 от 28.10.15г.</t>
  </si>
  <si>
    <t>№942 от 26.02.2016</t>
  </si>
  <si>
    <t>491/15 от 28.10.2015г.</t>
  </si>
  <si>
    <t>№943 от 26.02.2016</t>
  </si>
  <si>
    <t xml:space="preserve">Материалы (март) </t>
  </si>
  <si>
    <t>Создание системы охраны периметра ВПС-8 и ВПС-12</t>
  </si>
  <si>
    <t>УК "РосВодоканал"</t>
  </si>
  <si>
    <t>138/14 от 12.03.14</t>
  </si>
  <si>
    <t>№3557 от 30.06.2016 (часть)</t>
  </si>
  <si>
    <t>Отчет агента за май</t>
  </si>
  <si>
    <t>Создание локальной системы оповещения (ВПС №12)</t>
  </si>
  <si>
    <t>Реконструкция ПС-10. Комплекс работ по техническому перевооружению оборудования насосной станции.  (инв. №10000152) (Реконструкция  ПС-10)</t>
  </si>
  <si>
    <t>Реконструкция ПС-13. Комплекс работ по техническому перевооружению оборудования насосной станции. (инв. №10000261) (Реконструкция  ПС-13)</t>
  </si>
  <si>
    <t>Реконструкция ПС-14. Комплекс работ по техническому перевооружению оборудования насосной станции. (инв. №10000483) (Реконструкция  ПС-14)</t>
  </si>
  <si>
    <t>ПИР, СМР. Строительство сетей водоснабжения в микрорайоне Никольское</t>
  </si>
  <si>
    <t>№945 от 26.02.201</t>
  </si>
  <si>
    <t>№1763 от 15.04.2016 (часть)</t>
  </si>
  <si>
    <t>Отчет агента за февраль</t>
  </si>
  <si>
    <t>Оплата труда, страховые взносы (июнь )</t>
  </si>
  <si>
    <t>ПИР, СМР. Водоснабжение школы на 600 мест, расположенной по адресу Московский пр., 142у</t>
  </si>
  <si>
    <t>№946 от 26.02.2016</t>
  </si>
  <si>
    <t>ООО ТСП "Воронеж Строй Комплекс"</t>
  </si>
  <si>
    <t xml:space="preserve">665/15 от 27.11.15 </t>
  </si>
  <si>
    <t>№938 от 26.02.2016</t>
  </si>
  <si>
    <t>ВОДООТВЕДЕНИЕ</t>
  </si>
  <si>
    <t>ПИР, СМР. Реконструкция аэротенков с внедрением современных технологий нитри-денитрификации (инв. № 20000328) (ПИР: Проектно-изыскательские работы)</t>
  </si>
  <si>
    <t>1351,821 в месяц</t>
  </si>
  <si>
    <t>№947 от 26.02.2016</t>
  </si>
  <si>
    <t>ООО "Укрепрайон"</t>
  </si>
  <si>
    <t>728/14 от 28.11.14</t>
  </si>
  <si>
    <t>№363 от 28.01.2016</t>
  </si>
  <si>
    <t>КС-2, КС-3 №23 от 29.01.16</t>
  </si>
  <si>
    <t>№932 от 26.02.2016</t>
  </si>
  <si>
    <t>КС-2, КС-3 №24 от 29.01.16</t>
  </si>
  <si>
    <t>№933 от 26.02.2016</t>
  </si>
  <si>
    <t>КС-2, КС-3 №25 от 10.03.16</t>
  </si>
  <si>
    <t>№1661 от 11.04.2016</t>
  </si>
  <si>
    <t xml:space="preserve">427/15 от 30.09.15 </t>
  </si>
  <si>
    <t>№364 от 28.01.2016</t>
  </si>
  <si>
    <t>КС-2, КС-3 №4 от 29.02.16</t>
  </si>
  <si>
    <t xml:space="preserve">№1895 от 22.04.2016 </t>
  </si>
  <si>
    <t>КС-2, КС-3 №5 от 29.02.16</t>
  </si>
  <si>
    <t>№1897 от 22.04.2016</t>
  </si>
  <si>
    <t>КС-2, КС-3 №8 от 30.06.16</t>
  </si>
  <si>
    <t>КС-2, КС-3 №7 от 30.06.16</t>
  </si>
  <si>
    <t>КС-2, КС-3 №6 от 30.06.17</t>
  </si>
  <si>
    <t>АО "МАЙ ПРОЕКТ"</t>
  </si>
  <si>
    <t>468/15 от 16.10.15</t>
  </si>
  <si>
    <t>№400 от 29.01.2016</t>
  </si>
  <si>
    <t>Акт №3 от 29.02.16</t>
  </si>
  <si>
    <t>№1335 от 28.03.2016</t>
  </si>
  <si>
    <t>Акт №4 от 30.03.16</t>
  </si>
  <si>
    <t>№1896 от 22.04.2016</t>
  </si>
  <si>
    <t>Акт  №5 от 18.05.16</t>
  </si>
  <si>
    <t xml:space="preserve">Акт №6 от 23.06.16 </t>
  </si>
  <si>
    <t xml:space="preserve">469/15 от 20.10.15  </t>
  </si>
  <si>
    <t>№703 от 26.02.2016</t>
  </si>
  <si>
    <t xml:space="preserve">187/16 от 06.05.16 </t>
  </si>
  <si>
    <t xml:space="preserve">№2518 от 19.05.2016 </t>
  </si>
  <si>
    <t xml:space="preserve">№965004 от 31.05.2016 </t>
  </si>
  <si>
    <t>ООО"Волжская металлобаза"</t>
  </si>
  <si>
    <t>711/15 от 17.12.15</t>
  </si>
  <si>
    <t>№934 от 26.02.2016</t>
  </si>
  <si>
    <t>№935 от 26.02.2016</t>
  </si>
  <si>
    <t>№975 от 28.03.2016</t>
  </si>
  <si>
    <t xml:space="preserve">№1332 от 28.03.2016 </t>
  </si>
  <si>
    <t>№1333 от 28.03.2016</t>
  </si>
  <si>
    <t>№1334 от 28.03.2016</t>
  </si>
  <si>
    <t xml:space="preserve">№2519 от 19.05.2016 </t>
  </si>
  <si>
    <t>№3239 от 20.06.2016</t>
  </si>
  <si>
    <t>№3240 от 20.06.2016</t>
  </si>
  <si>
    <t>№908 от 26.02.2016  (часть)</t>
  </si>
  <si>
    <t>№1763 от 15.04.2016 (часть),№1764 от 15.04.2016  (часть)</t>
  </si>
  <si>
    <t>ООО "Оборонэкспертиза"</t>
  </si>
  <si>
    <t>119/16 от 17.03.16</t>
  </si>
  <si>
    <t>№1336 от 28.03.2016</t>
  </si>
  <si>
    <t>№3241 от 20.06.2016</t>
  </si>
  <si>
    <t>Капитализация процентов январь</t>
  </si>
  <si>
    <t>Капитализация процентов февраль</t>
  </si>
  <si>
    <t>Капитализация процентов март</t>
  </si>
  <si>
    <t>Капитализация процентов апрель</t>
  </si>
  <si>
    <t>Капитализация процентов май</t>
  </si>
  <si>
    <t>Капитализация процентов июнь</t>
  </si>
  <si>
    <t>ПИР, СМР. Строительство цеха механического обезвоживания осадка (ЦМО) на ПОС</t>
  </si>
  <si>
    <t>№948 от 26.02.2016</t>
  </si>
  <si>
    <t>№1659 от 11.04.2016</t>
  </si>
  <si>
    <t>№1764 от 15.04.2016 (часть)</t>
  </si>
  <si>
    <t>Отчет агента за март</t>
  </si>
  <si>
    <t>Приобретение основных средств (водоотведение)</t>
  </si>
  <si>
    <t>Оплата труда, страховые взносы апрель дробилка РД 600  ООО "НафтаЭКО инжиниринговая компания" (ООО "Водмашоборудование")</t>
  </si>
  <si>
    <t>Материалы май ( РЕШЕТКА ДРОБИЛКА РД-600 Модернизация (установка мотор-редуктора))</t>
  </si>
  <si>
    <t>Материалы июнь ( РЕШЕТКА ДРОБИЛКА РД-600  Модернизация (установка мотор-редуктора))</t>
  </si>
  <si>
    <t>Оплата труда, страховые взносы май Решетка дробилка РД-600 (установка мотор-редуктора)</t>
  </si>
  <si>
    <t>Оплата труда, страховые взносы июнь Решетка дробилка РД-600 (установка мотор-редуктора)</t>
  </si>
  <si>
    <t>ООО ГК "Авангард"</t>
  </si>
  <si>
    <t>117/16 от 17.03.16</t>
  </si>
  <si>
    <t>№3238 от 20.06.2016</t>
  </si>
  <si>
    <t>ООО "Производственная фирма "СТИС""</t>
  </si>
  <si>
    <t xml:space="preserve">507/15 от 16.11.15 </t>
  </si>
  <si>
    <t>КС-2, КС-3 №9 от 31.03.16</t>
  </si>
  <si>
    <t>КС-2, КС-3 №10 от 31.03.16</t>
  </si>
  <si>
    <t>КС-2, КС-3 №11 от 31.03.16</t>
  </si>
  <si>
    <t>КС-2, КС-3 №12 от 31.03.16</t>
  </si>
  <si>
    <t>КС-2, КС-3 №13 от 31.03.16</t>
  </si>
  <si>
    <t>КС-2, КС-3 №14 от 06.05.16</t>
  </si>
  <si>
    <t>КС-2, КС-3 №15 от 06.05.16</t>
  </si>
  <si>
    <t>КС-2, КС-3 №16 от 06.05.16</t>
  </si>
  <si>
    <t>КС-2, КС-3 №17 от 06.05.16</t>
  </si>
  <si>
    <t>КС-2, КС-3 №18 от 06.05.16</t>
  </si>
  <si>
    <t>КС-2, КС-3 №19 от 06.05.16</t>
  </si>
  <si>
    <t>КС-2, КС-3 №20 от 06.05.16</t>
  </si>
  <si>
    <t>КС-2, КС-3 №21 от 06.05.16</t>
  </si>
  <si>
    <t>КС-2, КС-3 №22 от 06.05.16</t>
  </si>
  <si>
    <t>КС-2, КС-3 №23 от 06.05.16</t>
  </si>
  <si>
    <t>КС-2, КС-3 №24 от 06.05.16</t>
  </si>
  <si>
    <t>КС-2, КС-3 №25 от 31.05.16</t>
  </si>
  <si>
    <t>№949 от 26.02.2016</t>
  </si>
  <si>
    <t>МКУ "ГДДХ и Б"</t>
  </si>
  <si>
    <t>122/16 от 03.03.16</t>
  </si>
  <si>
    <t>№1240 от 22.03.2016</t>
  </si>
  <si>
    <t>Акт сдачи-приемки 04.03.16</t>
  </si>
  <si>
    <t>Давальческие материалы ООО "Производственная фирма "СТИС" (май)</t>
  </si>
  <si>
    <t>ПИР, СМР. Строительство канализационных сетей и сооружений в микрорайоне Никольское</t>
  </si>
  <si>
    <t>№950 от 26.02.2016</t>
  </si>
  <si>
    <t>ПИР, СМР. Реконструкция канализационных линий, подводящих сточные воды к КНС-5</t>
  </si>
  <si>
    <t xml:space="preserve">ПИР, СМР. Реконструкция канализационной линии по ул. Дубровина Д=250-450мм протяжённостью L=1700 п.м. </t>
  </si>
  <si>
    <t xml:space="preserve">ПИР, СМР. Реконструкция канализационных линий от многоквартирных домов, расположенных по пр. Труда №73-87 с подключением к муниципальным сетям </t>
  </si>
  <si>
    <t>ПИР, СМР. Водоотведение школы на 600 мест, расположенной по адресу Московский пр., 142у</t>
  </si>
  <si>
    <t>№951 от 26.02.2016</t>
  </si>
  <si>
    <t xml:space="preserve">№666/15 от 27.11.15 </t>
  </si>
  <si>
    <t>№940 от 26.02.2016</t>
  </si>
  <si>
    <t>№939 от 26.02.2016</t>
  </si>
  <si>
    <t>№941 от 26.02.2016</t>
  </si>
  <si>
    <t>№997 от 01.03.2016</t>
  </si>
  <si>
    <t>№998 от 01.03.2016</t>
  </si>
  <si>
    <t>Создание системы охранной сигнализации объектов ул. Солнечная 6, пр. Патриотов 34а, ул. Ленинградская 58в</t>
  </si>
  <si>
    <t>ООО "ТВ-Сервис"</t>
  </si>
  <si>
    <t>170/16 от 15.04.16</t>
  </si>
  <si>
    <t>№2532 от 19.05.2016</t>
  </si>
  <si>
    <t>КС-2, КС-3 №1 от 22.04.16</t>
  </si>
  <si>
    <t xml:space="preserve">Создание системы охраны периметра ПОС </t>
  </si>
  <si>
    <t>ООО "Завод Полипром"</t>
  </si>
  <si>
    <t>747/15 от 29.12.2015</t>
  </si>
  <si>
    <t>№1658 от 11.04.2016</t>
  </si>
  <si>
    <t>КС-2, КС-3 №1 от 01.03.16</t>
  </si>
  <si>
    <t>о ходе исполнения инвестиционной программы «Реконструкция (модернизация) систем водоснабжения и водоотведения на территории  городского округа город Воронеж на 2012 – 2018 годы (в рамках реализации Концессионного соглашения от 23.03.2012 г)» ООО "РВК-Воронеж"</t>
  </si>
  <si>
    <t>1 п/г 2016 год</t>
  </si>
  <si>
    <t>Структура финансовых потоков по инвестиционной программе, тыс. руб.</t>
  </si>
  <si>
    <t>Показатель</t>
  </si>
  <si>
    <t>Начисление</t>
  </si>
  <si>
    <t>Оплата</t>
  </si>
  <si>
    <t>Выполнение /Финансирование мероприятий с НДС в ценах соответствующих лет  с учетом накладных расходов</t>
  </si>
  <si>
    <t>Финансирование ИП за счет кредитов</t>
  </si>
  <si>
    <t>Погашение кредитов</t>
  </si>
  <si>
    <t>Бюджетное финансирование работ в рамках инвестиционной программы (субсидии)</t>
  </si>
  <si>
    <t>Расходы на обслуживание кредитов с НДС, в т.ч.</t>
  </si>
  <si>
    <t xml:space="preserve">- банковская гарантия </t>
  </si>
  <si>
    <t>- расходы на %% по кредитам</t>
  </si>
  <si>
    <t>50 164,28</t>
  </si>
  <si>
    <t>Выручка по ВС и ВО в части инвест составляющей с НДС/Поступление выручки по ВС и ВО части инвест составляющей с НДС за вычетом резерва по ДЗ</t>
  </si>
  <si>
    <t>Налог на прибыль (расчетный по ИП)</t>
  </si>
  <si>
    <t>НДС итого, в т. ч.</t>
  </si>
  <si>
    <t>Возмещение НДС с расходов по инвестиционным мероприятиям</t>
  </si>
  <si>
    <t>НДС к уплате (расчетный)</t>
  </si>
  <si>
    <t xml:space="preserve">Финансовый директор      </t>
  </si>
  <si>
    <t>С.В. Туршатова</t>
  </si>
  <si>
    <t xml:space="preserve">И.о.начальника ОРИП         </t>
  </si>
  <si>
    <t>Е.С. Александрова</t>
  </si>
  <si>
    <t>ИТОГО по ВОДООТВЕДЕНИЮ</t>
  </si>
  <si>
    <t>ВСЕГО по ВОДОСНАБЖЕНИЮ и ВОДООТВЕДЕНИЮ</t>
  </si>
  <si>
    <t>ИТОГО по ВОДОСНАБЖЕНИЮ</t>
  </si>
  <si>
    <t>ПИР и СМР. Реконструкция главного Левобережного коллектора Д-2000 мм протяженностью L-1825 п.м. от камеры на пересечении ул. Брусилова-Ленинский проспект до ГКНС (инв. №30014578 «Канализационные сети Левобережного района»). (Реконструкция и замена канализационных сетей и коллекторов.)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</si>
</sst>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0"/>
      <color theme="1"/>
      <name val="Arial Narrow"/>
      <family val="2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1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b/>
      <sz val="12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color theme="1"/>
      <name val="Arial"/>
      <family val="2"/>
      <charset val="204"/>
    </font>
    <font>
      <i/>
      <sz val="12"/>
      <color rgb="FF000000"/>
      <name val="Arial"/>
      <family val="2"/>
      <charset val="204"/>
    </font>
    <font>
      <i/>
      <sz val="12"/>
      <color theme="1"/>
      <name val="Arial"/>
      <family val="2"/>
      <charset val="204"/>
    </font>
    <font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9" fillId="0" borderId="0"/>
    <xf numFmtId="0" fontId="10" fillId="0" borderId="0"/>
    <xf numFmtId="0" fontId="2" fillId="0" borderId="0"/>
    <xf numFmtId="0" fontId="11" fillId="0" borderId="0"/>
  </cellStyleXfs>
  <cellXfs count="161">
    <xf numFmtId="0" fontId="0" fillId="0" borderId="0" xfId="0"/>
    <xf numFmtId="0" fontId="3" fillId="0" borderId="0" xfId="1" applyFont="1" applyFill="1"/>
    <xf numFmtId="0" fontId="1" fillId="0" borderId="0" xfId="1" applyFill="1"/>
    <xf numFmtId="0" fontId="1" fillId="0" borderId="0" xfId="1"/>
    <xf numFmtId="0" fontId="4" fillId="0" borderId="0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164" fontId="6" fillId="0" borderId="16" xfId="1" applyNumberFormat="1" applyFont="1" applyFill="1" applyBorder="1" applyAlignment="1">
      <alignment horizontal="center" vertical="center" wrapText="1"/>
    </xf>
    <xf numFmtId="0" fontId="6" fillId="0" borderId="17" xfId="1" applyFont="1" applyFill="1" applyBorder="1" applyAlignment="1">
      <alignment horizontal="center" vertical="center" wrapText="1"/>
    </xf>
    <xf numFmtId="164" fontId="6" fillId="0" borderId="18" xfId="1" applyNumberFormat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 wrapText="1"/>
    </xf>
    <xf numFmtId="0" fontId="6" fillId="0" borderId="21" xfId="1" applyFont="1" applyFill="1" applyBorder="1" applyAlignment="1">
      <alignment horizontal="center" vertical="center" wrapText="1"/>
    </xf>
    <xf numFmtId="164" fontId="6" fillId="0" borderId="22" xfId="1" applyNumberFormat="1" applyFont="1" applyFill="1" applyBorder="1" applyAlignment="1">
      <alignment horizontal="center" vertical="center" wrapText="1"/>
    </xf>
    <xf numFmtId="164" fontId="6" fillId="0" borderId="20" xfId="1" applyNumberFormat="1" applyFont="1" applyFill="1" applyBorder="1" applyAlignment="1">
      <alignment horizontal="center" vertical="center" wrapText="1"/>
    </xf>
    <xf numFmtId="0" fontId="6" fillId="0" borderId="23" xfId="1" applyFont="1" applyFill="1" applyBorder="1" applyAlignment="1">
      <alignment horizontal="center" vertical="center" wrapText="1"/>
    </xf>
    <xf numFmtId="164" fontId="6" fillId="0" borderId="24" xfId="1" applyNumberFormat="1" applyFont="1" applyFill="1" applyBorder="1" applyAlignment="1">
      <alignment horizontal="center" vertical="center" wrapText="1"/>
    </xf>
    <xf numFmtId="0" fontId="3" fillId="0" borderId="0" xfId="1" applyFont="1"/>
    <xf numFmtId="0" fontId="6" fillId="0" borderId="25" xfId="1" applyFont="1" applyFill="1" applyBorder="1" applyAlignment="1">
      <alignment horizontal="center" vertical="center" wrapText="1"/>
    </xf>
    <xf numFmtId="0" fontId="6" fillId="0" borderId="26" xfId="1" applyFont="1" applyFill="1" applyBorder="1" applyAlignment="1">
      <alignment horizontal="center" vertical="center" wrapText="1"/>
    </xf>
    <xf numFmtId="164" fontId="6" fillId="0" borderId="25" xfId="1" applyNumberFormat="1" applyFont="1" applyFill="1" applyBorder="1" applyAlignment="1">
      <alignment horizontal="center" vertical="center" wrapText="1"/>
    </xf>
    <xf numFmtId="165" fontId="6" fillId="0" borderId="20" xfId="1" applyNumberFormat="1" applyFont="1" applyFill="1" applyBorder="1" applyAlignment="1">
      <alignment horizontal="center" vertical="center" wrapText="1"/>
    </xf>
    <xf numFmtId="165" fontId="6" fillId="0" borderId="25" xfId="1" applyNumberFormat="1" applyFont="1" applyFill="1" applyBorder="1" applyAlignment="1">
      <alignment horizontal="center" vertical="center" wrapText="1"/>
    </xf>
    <xf numFmtId="164" fontId="6" fillId="0" borderId="26" xfId="1" applyNumberFormat="1" applyFont="1" applyFill="1" applyBorder="1" applyAlignment="1">
      <alignment horizontal="center" vertical="center" wrapText="1"/>
    </xf>
    <xf numFmtId="164" fontId="6" fillId="0" borderId="27" xfId="1" applyNumberFormat="1" applyFont="1" applyFill="1" applyBorder="1" applyAlignment="1">
      <alignment horizontal="center" vertical="center" wrapText="1"/>
    </xf>
    <xf numFmtId="0" fontId="6" fillId="0" borderId="31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164" fontId="6" fillId="0" borderId="7" xfId="1" applyNumberFormat="1" applyFont="1" applyFill="1" applyBorder="1" applyAlignment="1">
      <alignment horizontal="center" vertical="center" wrapText="1"/>
    </xf>
    <xf numFmtId="164" fontId="6" fillId="0" borderId="10" xfId="1" applyNumberFormat="1" applyFont="1" applyFill="1" applyBorder="1" applyAlignment="1">
      <alignment horizontal="center" vertical="center" wrapText="1"/>
    </xf>
    <xf numFmtId="165" fontId="6" fillId="0" borderId="24" xfId="1" applyNumberFormat="1" applyFont="1" applyFill="1" applyBorder="1" applyAlignment="1">
      <alignment horizontal="center" vertical="center" wrapText="1"/>
    </xf>
    <xf numFmtId="165" fontId="6" fillId="0" borderId="26" xfId="1" applyNumberFormat="1" applyFont="1" applyFill="1" applyBorder="1" applyAlignment="1">
      <alignment horizontal="center" vertical="center" wrapText="1"/>
    </xf>
    <xf numFmtId="165" fontId="6" fillId="0" borderId="27" xfId="1" applyNumberFormat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164" fontId="6" fillId="0" borderId="8" xfId="1" applyNumberFormat="1" applyFont="1" applyFill="1" applyBorder="1" applyAlignment="1">
      <alignment horizontal="center" vertical="center" wrapText="1"/>
    </xf>
    <xf numFmtId="165" fontId="6" fillId="0" borderId="8" xfId="1" applyNumberFormat="1" applyFont="1" applyFill="1" applyBorder="1" applyAlignment="1">
      <alignment horizontal="center" vertical="center" wrapText="1"/>
    </xf>
    <xf numFmtId="165" fontId="6" fillId="0" borderId="38" xfId="1" applyNumberFormat="1" applyFont="1" applyFill="1" applyBorder="1" applyAlignment="1">
      <alignment horizontal="center" vertical="center" wrapText="1"/>
    </xf>
    <xf numFmtId="165" fontId="6" fillId="0" borderId="39" xfId="1" applyNumberFormat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vertical="center" wrapText="1"/>
    </xf>
    <xf numFmtId="0" fontId="4" fillId="0" borderId="12" xfId="1" applyFont="1" applyFill="1" applyBorder="1" applyAlignment="1">
      <alignment vertical="center" wrapText="1"/>
    </xf>
    <xf numFmtId="0" fontId="4" fillId="0" borderId="13" xfId="1" applyFont="1" applyFill="1" applyBorder="1" applyAlignment="1">
      <alignment vertical="center" wrapText="1"/>
    </xf>
    <xf numFmtId="164" fontId="7" fillId="0" borderId="25" xfId="1" applyNumberFormat="1" applyFont="1" applyFill="1" applyBorder="1" applyAlignment="1">
      <alignment horizontal="center" vertical="center" wrapText="1"/>
    </xf>
    <xf numFmtId="0" fontId="6" fillId="0" borderId="40" xfId="1" applyFont="1" applyFill="1" applyBorder="1" applyAlignment="1">
      <alignment horizontal="center" vertical="center" wrapText="1"/>
    </xf>
    <xf numFmtId="0" fontId="6" fillId="0" borderId="41" xfId="1" applyFont="1" applyFill="1" applyBorder="1" applyAlignment="1">
      <alignment horizontal="center" vertical="center" wrapText="1"/>
    </xf>
    <xf numFmtId="164" fontId="6" fillId="0" borderId="31" xfId="1" applyNumberFormat="1" applyFont="1" applyFill="1" applyBorder="1" applyAlignment="1">
      <alignment horizontal="center" vertical="center" wrapText="1"/>
    </xf>
    <xf numFmtId="165" fontId="6" fillId="0" borderId="31" xfId="1" applyNumberFormat="1" applyFont="1" applyFill="1" applyBorder="1" applyAlignment="1">
      <alignment horizontal="center" vertical="center" wrapText="1"/>
    </xf>
    <xf numFmtId="165" fontId="6" fillId="0" borderId="42" xfId="1" applyNumberFormat="1" applyFont="1" applyFill="1" applyBorder="1" applyAlignment="1">
      <alignment horizontal="center" vertical="center" wrapText="1"/>
    </xf>
    <xf numFmtId="165" fontId="6" fillId="0" borderId="7" xfId="1" applyNumberFormat="1" applyFont="1" applyFill="1" applyBorder="1" applyAlignment="1">
      <alignment horizontal="center" vertical="center" wrapText="1"/>
    </xf>
    <xf numFmtId="165" fontId="6" fillId="0" borderId="10" xfId="1" applyNumberFormat="1" applyFont="1" applyFill="1" applyBorder="1" applyAlignment="1">
      <alignment horizontal="center" vertical="center" wrapText="1"/>
    </xf>
    <xf numFmtId="165" fontId="6" fillId="0" borderId="16" xfId="1" applyNumberFormat="1" applyFont="1" applyFill="1" applyBorder="1" applyAlignment="1">
      <alignment horizontal="center" vertical="center" wrapText="1"/>
    </xf>
    <xf numFmtId="0" fontId="4" fillId="0" borderId="33" xfId="1" applyFont="1" applyFill="1" applyBorder="1" applyAlignment="1">
      <alignment horizontal="center" vertical="center" wrapText="1"/>
    </xf>
    <xf numFmtId="0" fontId="4" fillId="0" borderId="43" xfId="1" applyFont="1" applyFill="1" applyBorder="1" applyAlignment="1">
      <alignment horizontal="center" vertical="center" wrapText="1"/>
    </xf>
    <xf numFmtId="0" fontId="4" fillId="0" borderId="38" xfId="1" applyFont="1" applyFill="1" applyBorder="1" applyAlignment="1">
      <alignment horizontal="center" vertical="center" wrapText="1"/>
    </xf>
    <xf numFmtId="164" fontId="4" fillId="0" borderId="8" xfId="1" applyNumberFormat="1" applyFont="1" applyFill="1" applyBorder="1" applyAlignment="1">
      <alignment horizontal="center" vertical="center" wrapText="1"/>
    </xf>
    <xf numFmtId="0" fontId="6" fillId="0" borderId="38" xfId="1" applyFont="1" applyFill="1" applyBorder="1" applyAlignment="1">
      <alignment horizontal="center" vertical="center" wrapText="1"/>
    </xf>
    <xf numFmtId="164" fontId="4" fillId="0" borderId="37" xfId="1" applyNumberFormat="1" applyFont="1" applyFill="1" applyBorder="1" applyAlignment="1">
      <alignment horizontal="center" vertical="center" wrapText="1"/>
    </xf>
    <xf numFmtId="164" fontId="6" fillId="0" borderId="38" xfId="1" applyNumberFormat="1" applyFont="1" applyFill="1" applyBorder="1" applyAlignment="1">
      <alignment horizontal="center" vertical="center" wrapText="1"/>
    </xf>
    <xf numFmtId="164" fontId="4" fillId="0" borderId="39" xfId="1" applyNumberFormat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vertical="center"/>
    </xf>
    <xf numFmtId="164" fontId="6" fillId="0" borderId="42" xfId="1" applyNumberFormat="1" applyFont="1" applyFill="1" applyBorder="1" applyAlignment="1">
      <alignment horizontal="center" vertical="center" wrapText="1"/>
    </xf>
    <xf numFmtId="164" fontId="6" fillId="0" borderId="44" xfId="1" applyNumberFormat="1" applyFont="1" applyFill="1" applyBorder="1" applyAlignment="1">
      <alignment horizontal="center" vertical="center" wrapText="1"/>
    </xf>
    <xf numFmtId="164" fontId="6" fillId="0" borderId="23" xfId="1" applyNumberFormat="1" applyFont="1" applyFill="1" applyBorder="1" applyAlignment="1">
      <alignment horizontal="center" vertical="center" wrapText="1"/>
    </xf>
    <xf numFmtId="164" fontId="6" fillId="0" borderId="36" xfId="1" applyNumberFormat="1" applyFont="1" applyFill="1" applyBorder="1" applyAlignment="1">
      <alignment horizontal="center" vertical="center" wrapText="1"/>
    </xf>
    <xf numFmtId="164" fontId="6" fillId="0" borderId="15" xfId="1" applyNumberFormat="1" applyFont="1" applyFill="1" applyBorder="1" applyAlignment="1">
      <alignment horizontal="center" vertical="center" wrapText="1"/>
    </xf>
    <xf numFmtId="164" fontId="6" fillId="0" borderId="47" xfId="1" applyNumberFormat="1" applyFont="1" applyFill="1" applyBorder="1" applyAlignment="1">
      <alignment horizontal="center" vertical="center" wrapText="1"/>
    </xf>
    <xf numFmtId="0" fontId="6" fillId="0" borderId="34" xfId="1" applyFont="1" applyFill="1" applyBorder="1" applyAlignment="1">
      <alignment horizontal="center" vertical="center" wrapText="1"/>
    </xf>
    <xf numFmtId="164" fontId="6" fillId="0" borderId="37" xfId="1" applyNumberFormat="1" applyFont="1" applyFill="1" applyBorder="1" applyAlignment="1">
      <alignment horizontal="center" vertical="center" wrapText="1"/>
    </xf>
    <xf numFmtId="164" fontId="6" fillId="0" borderId="48" xfId="1" applyNumberFormat="1" applyFont="1" applyFill="1" applyBorder="1" applyAlignment="1">
      <alignment horizontal="center" vertical="center" wrapText="1"/>
    </xf>
    <xf numFmtId="0" fontId="6" fillId="0" borderId="36" xfId="1" applyFont="1" applyFill="1" applyBorder="1" applyAlignment="1">
      <alignment horizontal="center" vertical="center" wrapText="1"/>
    </xf>
    <xf numFmtId="165" fontId="6" fillId="0" borderId="18" xfId="1" applyNumberFormat="1" applyFont="1" applyFill="1" applyBorder="1" applyAlignment="1">
      <alignment horizontal="center" vertical="center" wrapText="1"/>
    </xf>
    <xf numFmtId="0" fontId="6" fillId="0" borderId="49" xfId="3" applyNumberFormat="1" applyFont="1" applyFill="1" applyBorder="1" applyAlignment="1">
      <alignment horizontal="center" vertical="center" wrapText="1"/>
    </xf>
    <xf numFmtId="0" fontId="6" fillId="0" borderId="52" xfId="1" applyFont="1" applyFill="1" applyBorder="1" applyAlignment="1">
      <alignment horizontal="center" vertical="center" wrapText="1"/>
    </xf>
    <xf numFmtId="164" fontId="6" fillId="0" borderId="52" xfId="1" applyNumberFormat="1" applyFont="1" applyFill="1" applyBorder="1" applyAlignment="1">
      <alignment horizontal="center" vertical="center" wrapText="1"/>
    </xf>
    <xf numFmtId="165" fontId="6" fillId="0" borderId="52" xfId="1" applyNumberFormat="1" applyFont="1" applyFill="1" applyBorder="1" applyAlignment="1">
      <alignment horizontal="center" vertical="center" wrapText="1"/>
    </xf>
    <xf numFmtId="165" fontId="6" fillId="0" borderId="53" xfId="1" applyNumberFormat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164" fontId="6" fillId="0" borderId="45" xfId="1" applyNumberFormat="1" applyFont="1" applyFill="1" applyBorder="1" applyAlignment="1">
      <alignment horizontal="center" vertical="center" wrapText="1"/>
    </xf>
    <xf numFmtId="0" fontId="6" fillId="0" borderId="49" xfId="1" applyFont="1" applyFill="1" applyBorder="1" applyAlignment="1">
      <alignment horizontal="center" vertical="center" wrapText="1"/>
    </xf>
    <xf numFmtId="164" fontId="6" fillId="0" borderId="53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4" fillId="0" borderId="54" xfId="1" applyFont="1" applyFill="1" applyBorder="1" applyAlignment="1">
      <alignment horizontal="center" vertical="center" wrapText="1"/>
    </xf>
    <xf numFmtId="164" fontId="4" fillId="0" borderId="54" xfId="1" applyNumberFormat="1" applyFont="1" applyFill="1" applyBorder="1" applyAlignment="1">
      <alignment horizontal="center" vertical="center" wrapText="1"/>
    </xf>
    <xf numFmtId="164" fontId="6" fillId="0" borderId="54" xfId="1" applyNumberFormat="1" applyFont="1" applyFill="1" applyBorder="1" applyAlignment="1">
      <alignment horizontal="center" vertical="center" wrapText="1"/>
    </xf>
    <xf numFmtId="164" fontId="3" fillId="0" borderId="0" xfId="1" applyNumberFormat="1" applyFont="1" applyFill="1"/>
    <xf numFmtId="0" fontId="13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vertical="center" wrapText="1"/>
    </xf>
    <xf numFmtId="0" fontId="13" fillId="0" borderId="5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5" fillId="0" borderId="55" xfId="0" applyFont="1" applyBorder="1" applyAlignment="1">
      <alignment vertical="center" wrapText="1"/>
    </xf>
    <xf numFmtId="4" fontId="16" fillId="0" borderId="48" xfId="0" applyNumberFormat="1" applyFont="1" applyBorder="1" applyAlignment="1">
      <alignment horizontal="right" vertical="center" wrapText="1"/>
    </xf>
    <xf numFmtId="0" fontId="16" fillId="0" borderId="48" xfId="0" applyFont="1" applyBorder="1" applyAlignment="1">
      <alignment horizontal="right" vertical="center" wrapText="1"/>
    </xf>
    <xf numFmtId="0" fontId="17" fillId="0" borderId="55" xfId="0" applyFont="1" applyBorder="1" applyAlignment="1">
      <alignment vertical="center" wrapText="1"/>
    </xf>
    <xf numFmtId="4" fontId="18" fillId="0" borderId="48" xfId="0" applyNumberFormat="1" applyFont="1" applyBorder="1" applyAlignment="1">
      <alignment horizontal="right" vertical="center" wrapText="1"/>
    </xf>
    <xf numFmtId="0" fontId="18" fillId="0" borderId="48" xfId="0" applyFont="1" applyBorder="1" applyAlignment="1">
      <alignment horizontal="right" vertical="center" wrapText="1"/>
    </xf>
    <xf numFmtId="0" fontId="19" fillId="0" borderId="0" xfId="1" applyFont="1" applyFill="1"/>
    <xf numFmtId="4" fontId="16" fillId="0" borderId="0" xfId="0" applyNumberFormat="1" applyFont="1" applyBorder="1" applyAlignment="1">
      <alignment horizontal="right" vertical="center" wrapText="1"/>
    </xf>
    <xf numFmtId="0" fontId="3" fillId="0" borderId="0" xfId="1" applyFont="1" applyFill="1" applyBorder="1"/>
    <xf numFmtId="164" fontId="6" fillId="0" borderId="31" xfId="1" applyNumberFormat="1" applyFont="1" applyFill="1" applyBorder="1" applyAlignment="1">
      <alignment horizontal="center" vertical="center" wrapText="1"/>
    </xf>
    <xf numFmtId="164" fontId="6" fillId="0" borderId="22" xfId="1" applyNumberFormat="1" applyFont="1" applyFill="1" applyBorder="1" applyAlignment="1">
      <alignment horizontal="center" vertical="center" wrapText="1"/>
    </xf>
    <xf numFmtId="164" fontId="6" fillId="0" borderId="20" xfId="1" applyNumberFormat="1" applyFont="1" applyFill="1" applyBorder="1" applyAlignment="1">
      <alignment horizontal="center" vertical="center" wrapText="1"/>
    </xf>
    <xf numFmtId="0" fontId="6" fillId="0" borderId="31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 wrapText="1"/>
    </xf>
    <xf numFmtId="164" fontId="6" fillId="0" borderId="42" xfId="1" applyNumberFormat="1" applyFont="1" applyFill="1" applyBorder="1" applyAlignment="1">
      <alignment horizontal="center" vertical="center" wrapText="1"/>
    </xf>
    <xf numFmtId="164" fontId="6" fillId="0" borderId="45" xfId="1" applyNumberFormat="1" applyFont="1" applyFill="1" applyBorder="1" applyAlignment="1">
      <alignment horizontal="center" vertical="center" wrapText="1"/>
    </xf>
    <xf numFmtId="164" fontId="6" fillId="0" borderId="24" xfId="1" applyNumberFormat="1" applyFont="1" applyFill="1" applyBorder="1" applyAlignment="1">
      <alignment horizontal="center" vertical="center" wrapText="1"/>
    </xf>
    <xf numFmtId="0" fontId="6" fillId="0" borderId="28" xfId="1" applyFont="1" applyFill="1" applyBorder="1" applyAlignment="1">
      <alignment horizontal="center" vertical="center" wrapText="1"/>
    </xf>
    <xf numFmtId="0" fontId="6" fillId="0" borderId="21" xfId="1" applyFont="1" applyFill="1" applyBorder="1" applyAlignment="1">
      <alignment horizontal="center" vertical="center" wrapText="1"/>
    </xf>
    <xf numFmtId="0" fontId="6" fillId="0" borderId="50" xfId="1" applyFont="1" applyFill="1" applyBorder="1" applyAlignment="1">
      <alignment horizontal="center" vertical="center" wrapText="1"/>
    </xf>
    <xf numFmtId="0" fontId="6" fillId="0" borderId="51" xfId="1" applyFont="1" applyFill="1" applyBorder="1" applyAlignment="1">
      <alignment horizontal="center" vertical="center" wrapText="1"/>
    </xf>
    <xf numFmtId="0" fontId="6" fillId="0" borderId="35" xfId="1" applyFont="1" applyFill="1" applyBorder="1" applyAlignment="1">
      <alignment horizontal="center" vertical="center" wrapText="1"/>
    </xf>
    <xf numFmtId="0" fontId="6" fillId="0" borderId="25" xfId="1" applyFont="1" applyFill="1" applyBorder="1" applyAlignment="1">
      <alignment horizontal="center" vertical="center" wrapText="1"/>
    </xf>
    <xf numFmtId="0" fontId="6" fillId="0" borderId="30" xfId="1" applyFont="1" applyFill="1" applyBorder="1" applyAlignment="1">
      <alignment horizontal="center" vertical="center" wrapText="1"/>
    </xf>
    <xf numFmtId="0" fontId="6" fillId="0" borderId="23" xfId="1" applyFont="1" applyFill="1" applyBorder="1" applyAlignment="1">
      <alignment horizontal="center" vertical="center" wrapText="1"/>
    </xf>
    <xf numFmtId="0" fontId="6" fillId="0" borderId="35" xfId="3" applyNumberFormat="1" applyFont="1" applyFill="1" applyBorder="1" applyAlignment="1">
      <alignment horizontal="center" vertical="center" wrapText="1"/>
    </xf>
    <xf numFmtId="0" fontId="6" fillId="0" borderId="32" xfId="1" applyFont="1" applyFill="1" applyBorder="1" applyAlignment="1">
      <alignment horizontal="center" vertical="center" wrapText="1"/>
    </xf>
    <xf numFmtId="0" fontId="6" fillId="0" borderId="26" xfId="1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 wrapText="1"/>
    </xf>
    <xf numFmtId="0" fontId="6" fillId="0" borderId="17" xfId="1" applyFont="1" applyFill="1" applyBorder="1" applyAlignment="1">
      <alignment horizontal="center" vertical="center" wrapText="1"/>
    </xf>
    <xf numFmtId="164" fontId="6" fillId="0" borderId="4" xfId="1" applyNumberFormat="1" applyFont="1" applyFill="1" applyBorder="1" applyAlignment="1">
      <alignment horizontal="center" vertical="center" wrapText="1"/>
    </xf>
    <xf numFmtId="0" fontId="6" fillId="0" borderId="29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164" fontId="6" fillId="0" borderId="3" xfId="1" applyNumberFormat="1" applyFont="1" applyFill="1" applyBorder="1" applyAlignment="1">
      <alignment horizontal="center" vertical="center" wrapText="1"/>
    </xf>
    <xf numFmtId="164" fontId="6" fillId="0" borderId="21" xfId="1" applyNumberFormat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34" xfId="1" applyFont="1" applyFill="1" applyBorder="1" applyAlignment="1">
      <alignment horizontal="center" vertical="center" wrapText="1"/>
    </xf>
    <xf numFmtId="0" fontId="6" fillId="0" borderId="36" xfId="1" applyFont="1" applyFill="1" applyBorder="1" applyAlignment="1">
      <alignment horizontal="center" vertical="center" wrapText="1"/>
    </xf>
    <xf numFmtId="0" fontId="6" fillId="0" borderId="46" xfId="1" applyFont="1" applyFill="1" applyBorder="1" applyAlignment="1">
      <alignment horizontal="center" vertical="center" wrapText="1"/>
    </xf>
    <xf numFmtId="0" fontId="6" fillId="0" borderId="6" xfId="3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37" xfId="1" applyFont="1" applyFill="1" applyBorder="1" applyAlignment="1">
      <alignment horizontal="center" vertical="center" wrapText="1"/>
    </xf>
    <xf numFmtId="0" fontId="6" fillId="0" borderId="38" xfId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4" fillId="0" borderId="0" xfId="1" applyFont="1" applyFill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 wrapText="1"/>
    </xf>
    <xf numFmtId="0" fontId="6" fillId="0" borderId="19" xfId="1" applyFont="1" applyFill="1" applyBorder="1" applyAlignment="1">
      <alignment horizontal="center" vertical="center" wrapText="1"/>
    </xf>
    <xf numFmtId="0" fontId="6" fillId="0" borderId="33" xfId="1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2" xfId="1"/>
    <cellStyle name="Обычный 2 10" xfId="4"/>
    <cellStyle name="Обычный 2 2" xfId="2"/>
    <cellStyle name="Обычный 29" xfId="5"/>
    <cellStyle name="Обычный 3" xfId="6"/>
    <cellStyle name="Обычный 4" xfId="7"/>
    <cellStyle name="Обычный_Бизнес-план 2005 г. (РВК)1 экспериментальн 2 со 2 квартала_1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184"/>
  <sheetViews>
    <sheetView tabSelected="1" topLeftCell="A136" zoomScale="60" zoomScaleNormal="60" workbookViewId="0">
      <selection activeCell="E115" sqref="E115:E131"/>
    </sheetView>
  </sheetViews>
  <sheetFormatPr defaultRowHeight="15" x14ac:dyDescent="0.25"/>
  <cols>
    <col min="1" max="1" width="9.140625" style="1"/>
    <col min="2" max="2" width="42" style="1" customWidth="1"/>
    <col min="3" max="3" width="20.5703125" style="1" customWidth="1"/>
    <col min="4" max="4" width="14.28515625" style="1" customWidth="1"/>
    <col min="5" max="6" width="16.42578125" style="1" customWidth="1"/>
    <col min="7" max="7" width="14.85546875" style="1" customWidth="1"/>
    <col min="8" max="8" width="17" style="1" customWidth="1"/>
    <col min="9" max="9" width="18.7109375" style="1" customWidth="1"/>
    <col min="10" max="10" width="14.7109375" style="1" customWidth="1"/>
    <col min="11" max="11" width="17.7109375" style="1" customWidth="1"/>
    <col min="12" max="12" width="9.140625" style="2"/>
    <col min="13" max="16384" width="9.140625" style="3"/>
  </cols>
  <sheetData>
    <row r="2" spans="1:12" ht="15.75" x14ac:dyDescent="0.25">
      <c r="B2" s="140" t="s">
        <v>0</v>
      </c>
      <c r="C2" s="140"/>
      <c r="D2" s="140"/>
      <c r="E2" s="140"/>
      <c r="F2" s="140"/>
      <c r="G2" s="140"/>
      <c r="H2" s="140"/>
      <c r="I2" s="140"/>
      <c r="J2" s="140"/>
      <c r="K2" s="140"/>
    </row>
    <row r="3" spans="1:12" ht="33" customHeight="1" x14ac:dyDescent="0.25">
      <c r="B3" s="141" t="s">
        <v>179</v>
      </c>
      <c r="C3" s="141"/>
      <c r="D3" s="141"/>
      <c r="E3" s="141"/>
      <c r="F3" s="141"/>
      <c r="G3" s="141"/>
      <c r="H3" s="141"/>
      <c r="I3" s="141"/>
      <c r="J3" s="141"/>
      <c r="K3" s="141"/>
    </row>
    <row r="4" spans="1:12" ht="15.75" x14ac:dyDescent="0.25">
      <c r="B4" s="142" t="s">
        <v>1</v>
      </c>
      <c r="C4" s="142"/>
      <c r="D4" s="142"/>
      <c r="E4" s="142"/>
      <c r="F4" s="142"/>
      <c r="G4" s="142"/>
      <c r="H4" s="142"/>
      <c r="I4" s="142"/>
      <c r="J4" s="142"/>
      <c r="K4" s="142"/>
    </row>
    <row r="5" spans="1:12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</row>
    <row r="6" spans="1:12" ht="15.75" x14ac:dyDescent="0.25">
      <c r="B6" s="143" t="s">
        <v>2</v>
      </c>
      <c r="C6" s="145" t="s">
        <v>3</v>
      </c>
      <c r="D6" s="146"/>
      <c r="E6" s="147" t="s">
        <v>4</v>
      </c>
      <c r="F6" s="147" t="s">
        <v>5</v>
      </c>
      <c r="G6" s="149" t="s">
        <v>6</v>
      </c>
      <c r="H6" s="150"/>
      <c r="I6" s="151" t="s">
        <v>7</v>
      </c>
      <c r="J6" s="153" t="s">
        <v>8</v>
      </c>
      <c r="K6" s="154"/>
    </row>
    <row r="7" spans="1:12" ht="32.25" thickBot="1" x14ac:dyDescent="0.3">
      <c r="B7" s="144"/>
      <c r="C7" s="5" t="s">
        <v>9</v>
      </c>
      <c r="D7" s="5" t="s">
        <v>10</v>
      </c>
      <c r="E7" s="148"/>
      <c r="F7" s="148"/>
      <c r="G7" s="6" t="s">
        <v>11</v>
      </c>
      <c r="H7" s="7" t="s">
        <v>12</v>
      </c>
      <c r="I7" s="152"/>
      <c r="J7" s="6" t="s">
        <v>11</v>
      </c>
      <c r="K7" s="8" t="s">
        <v>12</v>
      </c>
    </row>
    <row r="8" spans="1:12" ht="16.5" thickBot="1" x14ac:dyDescent="0.3">
      <c r="B8" s="155" t="s">
        <v>13</v>
      </c>
      <c r="C8" s="156"/>
      <c r="D8" s="156"/>
      <c r="E8" s="156"/>
      <c r="F8" s="156"/>
      <c r="G8" s="156"/>
      <c r="H8" s="156"/>
      <c r="I8" s="156"/>
      <c r="J8" s="156"/>
      <c r="K8" s="157"/>
    </row>
    <row r="9" spans="1:12" ht="30" x14ac:dyDescent="0.25">
      <c r="B9" s="158" t="s">
        <v>14</v>
      </c>
      <c r="C9" s="9" t="s">
        <v>15</v>
      </c>
      <c r="D9" s="10" t="s">
        <v>16</v>
      </c>
      <c r="E9" s="11">
        <f>13830581/1000</f>
        <v>13830.581</v>
      </c>
      <c r="F9" s="11">
        <f>H9</f>
        <v>3883.6618599999997</v>
      </c>
      <c r="G9" s="10" t="s">
        <v>17</v>
      </c>
      <c r="H9" s="11">
        <f>3883661.86/1000</f>
        <v>3883.6618599999997</v>
      </c>
      <c r="I9" s="11">
        <f>K9</f>
        <v>0</v>
      </c>
      <c r="J9" s="12" t="s">
        <v>18</v>
      </c>
      <c r="K9" s="13">
        <v>0</v>
      </c>
    </row>
    <row r="10" spans="1:12" s="20" customFormat="1" ht="30" x14ac:dyDescent="0.25">
      <c r="A10" s="1"/>
      <c r="B10" s="159"/>
      <c r="C10" s="14" t="s">
        <v>19</v>
      </c>
      <c r="D10" s="15" t="s">
        <v>20</v>
      </c>
      <c r="E10" s="16" t="s">
        <v>21</v>
      </c>
      <c r="F10" s="17">
        <f>H10</f>
        <v>128.636</v>
      </c>
      <c r="G10" s="14" t="s">
        <v>22</v>
      </c>
      <c r="H10" s="17">
        <f>128636/1000</f>
        <v>128.636</v>
      </c>
      <c r="I10" s="16">
        <f>K10</f>
        <v>0</v>
      </c>
      <c r="J10" s="18" t="s">
        <v>18</v>
      </c>
      <c r="K10" s="19">
        <v>0</v>
      </c>
      <c r="L10" s="1"/>
    </row>
    <row r="11" spans="1:12" ht="60" customHeight="1" x14ac:dyDescent="0.25">
      <c r="B11" s="159"/>
      <c r="C11" s="21" t="s">
        <v>23</v>
      </c>
      <c r="D11" s="22" t="s">
        <v>18</v>
      </c>
      <c r="E11" s="23" t="s">
        <v>18</v>
      </c>
      <c r="F11" s="24">
        <f t="shared" ref="F11:F23" si="0">H11</f>
        <v>18.7502</v>
      </c>
      <c r="G11" s="21" t="s">
        <v>24</v>
      </c>
      <c r="H11" s="25">
        <f>18750.2/1000</f>
        <v>18.7502</v>
      </c>
      <c r="I11" s="26">
        <f>K11</f>
        <v>0</v>
      </c>
      <c r="J11" s="22" t="s">
        <v>18</v>
      </c>
      <c r="K11" s="27">
        <v>0</v>
      </c>
    </row>
    <row r="12" spans="1:12" ht="32.25" customHeight="1" x14ac:dyDescent="0.25">
      <c r="B12" s="159"/>
      <c r="C12" s="109" t="s">
        <v>25</v>
      </c>
      <c r="D12" s="110"/>
      <c r="E12" s="14" t="s">
        <v>18</v>
      </c>
      <c r="F12" s="17">
        <f t="shared" si="0"/>
        <v>90.546902854199999</v>
      </c>
      <c r="G12" s="14" t="s">
        <v>18</v>
      </c>
      <c r="H12" s="17">
        <f>90546.9028542/1000</f>
        <v>90.546902854199999</v>
      </c>
      <c r="I12" s="17">
        <f t="shared" ref="I12:I23" si="1">K12</f>
        <v>100.85817999999999</v>
      </c>
      <c r="J12" s="14" t="s">
        <v>18</v>
      </c>
      <c r="K12" s="19">
        <f>100858.18/1000</f>
        <v>100.85817999999999</v>
      </c>
    </row>
    <row r="13" spans="1:12" ht="32.25" customHeight="1" x14ac:dyDescent="0.25">
      <c r="B13" s="159"/>
      <c r="C13" s="124" t="s">
        <v>26</v>
      </c>
      <c r="D13" s="115"/>
      <c r="E13" s="28" t="s">
        <v>18</v>
      </c>
      <c r="F13" s="23">
        <f t="shared" si="0"/>
        <v>100.30379947860899</v>
      </c>
      <c r="G13" s="21" t="s">
        <v>18</v>
      </c>
      <c r="H13" s="23">
        <f>100303.799478609/1000</f>
        <v>100.30379947860899</v>
      </c>
      <c r="I13" s="23">
        <f t="shared" si="1"/>
        <v>75.132429999999999</v>
      </c>
      <c r="J13" s="21" t="s">
        <v>18</v>
      </c>
      <c r="K13" s="27">
        <f>75132.43/1000</f>
        <v>75.132429999999999</v>
      </c>
    </row>
    <row r="14" spans="1:12" ht="30.75" customHeight="1" x14ac:dyDescent="0.25">
      <c r="B14" s="159"/>
      <c r="C14" s="118" t="s">
        <v>27</v>
      </c>
      <c r="D14" s="119"/>
      <c r="E14" s="21" t="s">
        <v>18</v>
      </c>
      <c r="F14" s="23">
        <f t="shared" si="0"/>
        <v>66.060374878063513</v>
      </c>
      <c r="G14" s="21" t="s">
        <v>18</v>
      </c>
      <c r="H14" s="23">
        <f>66060.3748780635/1000</f>
        <v>66.060374878063513</v>
      </c>
      <c r="I14" s="23">
        <f t="shared" si="1"/>
        <v>64.594769999999997</v>
      </c>
      <c r="J14" s="21" t="s">
        <v>18</v>
      </c>
      <c r="K14" s="27">
        <f>64594.77/1000</f>
        <v>64.594769999999997</v>
      </c>
    </row>
    <row r="15" spans="1:12" ht="31.5" customHeight="1" x14ac:dyDescent="0.25">
      <c r="B15" s="159"/>
      <c r="C15" s="124" t="s">
        <v>28</v>
      </c>
      <c r="D15" s="115"/>
      <c r="E15" s="21" t="s">
        <v>18</v>
      </c>
      <c r="F15" s="23">
        <f t="shared" si="0"/>
        <v>66.856733772330202</v>
      </c>
      <c r="G15" s="21" t="s">
        <v>18</v>
      </c>
      <c r="H15" s="23">
        <f>66856.7337723302/1000</f>
        <v>66.856733772330202</v>
      </c>
      <c r="I15" s="23">
        <f t="shared" si="1"/>
        <v>79.627960000000002</v>
      </c>
      <c r="J15" s="21" t="s">
        <v>18</v>
      </c>
      <c r="K15" s="27">
        <f>79627.96/1000</f>
        <v>79.627960000000002</v>
      </c>
    </row>
    <row r="16" spans="1:12" ht="30" customHeight="1" x14ac:dyDescent="0.25">
      <c r="B16" s="159"/>
      <c r="C16" s="124" t="s">
        <v>29</v>
      </c>
      <c r="D16" s="115"/>
      <c r="E16" s="21" t="s">
        <v>18</v>
      </c>
      <c r="F16" s="23">
        <f t="shared" si="0"/>
        <v>70.150463831313488</v>
      </c>
      <c r="G16" s="21" t="s">
        <v>18</v>
      </c>
      <c r="H16" s="23">
        <f>70150.4638313135/1000</f>
        <v>70.150463831313488</v>
      </c>
      <c r="I16" s="23">
        <f t="shared" si="1"/>
        <v>43.507730000000002</v>
      </c>
      <c r="J16" s="21" t="s">
        <v>18</v>
      </c>
      <c r="K16" s="27">
        <f>43507.73/1000</f>
        <v>43.507730000000002</v>
      </c>
    </row>
    <row r="17" spans="1:12" ht="31.5" customHeight="1" thickBot="1" x14ac:dyDescent="0.3">
      <c r="B17" s="160"/>
      <c r="C17" s="130" t="s">
        <v>30</v>
      </c>
      <c r="D17" s="131"/>
      <c r="E17" s="29" t="s">
        <v>18</v>
      </c>
      <c r="F17" s="30">
        <f t="shared" si="0"/>
        <v>34.370895429021495</v>
      </c>
      <c r="G17" s="29" t="s">
        <v>18</v>
      </c>
      <c r="H17" s="30">
        <f>34370.8954290215/1000</f>
        <v>34.370895429021495</v>
      </c>
      <c r="I17" s="30">
        <f t="shared" si="1"/>
        <v>0</v>
      </c>
      <c r="J17" s="29" t="s">
        <v>18</v>
      </c>
      <c r="K17" s="31">
        <v>0</v>
      </c>
    </row>
    <row r="18" spans="1:12" ht="32.25" customHeight="1" x14ac:dyDescent="0.25">
      <c r="B18" s="113" t="s">
        <v>31</v>
      </c>
      <c r="C18" s="132" t="s">
        <v>25</v>
      </c>
      <c r="D18" s="116"/>
      <c r="E18" s="14" t="s">
        <v>18</v>
      </c>
      <c r="F18" s="17">
        <f t="shared" si="0"/>
        <v>22.079849999999997</v>
      </c>
      <c r="G18" s="14" t="s">
        <v>18</v>
      </c>
      <c r="H18" s="17">
        <f>K18</f>
        <v>22.079849999999997</v>
      </c>
      <c r="I18" s="24">
        <f t="shared" si="1"/>
        <v>22.079849999999997</v>
      </c>
      <c r="J18" s="14" t="s">
        <v>18</v>
      </c>
      <c r="K18" s="32">
        <f>22079.85/1000</f>
        <v>22.079849999999997</v>
      </c>
    </row>
    <row r="19" spans="1:12" ht="31.5" customHeight="1" x14ac:dyDescent="0.25">
      <c r="B19" s="113"/>
      <c r="C19" s="118" t="s">
        <v>26</v>
      </c>
      <c r="D19" s="119"/>
      <c r="E19" s="21" t="s">
        <v>18</v>
      </c>
      <c r="F19" s="23">
        <f t="shared" si="0"/>
        <v>12.550660000000001</v>
      </c>
      <c r="G19" s="21" t="s">
        <v>18</v>
      </c>
      <c r="H19" s="25">
        <f>12550.66/1000</f>
        <v>12.550660000000001</v>
      </c>
      <c r="I19" s="33">
        <f t="shared" si="1"/>
        <v>12.550660000000001</v>
      </c>
      <c r="J19" s="21" t="s">
        <v>18</v>
      </c>
      <c r="K19" s="34">
        <f>12550.66/1000</f>
        <v>12.550660000000001</v>
      </c>
    </row>
    <row r="20" spans="1:12" ht="31.5" customHeight="1" x14ac:dyDescent="0.25">
      <c r="B20" s="113"/>
      <c r="C20" s="118" t="s">
        <v>27</v>
      </c>
      <c r="D20" s="119"/>
      <c r="E20" s="21" t="s">
        <v>18</v>
      </c>
      <c r="F20" s="23">
        <f t="shared" si="0"/>
        <v>12.78918</v>
      </c>
      <c r="G20" s="21" t="s">
        <v>18</v>
      </c>
      <c r="H20" s="25">
        <f>K20</f>
        <v>12.78918</v>
      </c>
      <c r="I20" s="33">
        <f t="shared" si="1"/>
        <v>12.78918</v>
      </c>
      <c r="J20" s="21" t="s">
        <v>18</v>
      </c>
      <c r="K20" s="34">
        <f>12789.18/1000</f>
        <v>12.78918</v>
      </c>
    </row>
    <row r="21" spans="1:12" ht="31.5" customHeight="1" x14ac:dyDescent="0.25">
      <c r="B21" s="113"/>
      <c r="C21" s="118" t="s">
        <v>28</v>
      </c>
      <c r="D21" s="119"/>
      <c r="E21" s="21" t="s">
        <v>18</v>
      </c>
      <c r="F21" s="23">
        <f t="shared" si="0"/>
        <v>38.496070000000003</v>
      </c>
      <c r="G21" s="21" t="s">
        <v>18</v>
      </c>
      <c r="H21" s="25">
        <f>K21</f>
        <v>38.496070000000003</v>
      </c>
      <c r="I21" s="33">
        <f t="shared" si="1"/>
        <v>38.496070000000003</v>
      </c>
      <c r="J21" s="21" t="s">
        <v>18</v>
      </c>
      <c r="K21" s="34">
        <f>38496.07/1000</f>
        <v>38.496070000000003</v>
      </c>
    </row>
    <row r="22" spans="1:12" ht="31.5" customHeight="1" x14ac:dyDescent="0.25">
      <c r="B22" s="113"/>
      <c r="C22" s="118" t="s">
        <v>29</v>
      </c>
      <c r="D22" s="119"/>
      <c r="E22" s="21" t="s">
        <v>18</v>
      </c>
      <c r="F22" s="23">
        <f>H22</f>
        <v>12.369639999999999</v>
      </c>
      <c r="G22" s="21" t="s">
        <v>18</v>
      </c>
      <c r="H22" s="25">
        <f>K22</f>
        <v>12.369639999999999</v>
      </c>
      <c r="I22" s="33">
        <f>K22</f>
        <v>12.369639999999999</v>
      </c>
      <c r="J22" s="21" t="s">
        <v>18</v>
      </c>
      <c r="K22" s="34">
        <f>12369.64/1000</f>
        <v>12.369639999999999</v>
      </c>
    </row>
    <row r="23" spans="1:12" ht="31.5" customHeight="1" thickBot="1" x14ac:dyDescent="0.3">
      <c r="B23" s="126"/>
      <c r="C23" s="137" t="s">
        <v>30</v>
      </c>
      <c r="D23" s="138"/>
      <c r="E23" s="35" t="s">
        <v>18</v>
      </c>
      <c r="F23" s="36">
        <f t="shared" si="0"/>
        <v>23.90718</v>
      </c>
      <c r="G23" s="35" t="s">
        <v>18</v>
      </c>
      <c r="H23" s="37">
        <f>K23</f>
        <v>23.90718</v>
      </c>
      <c r="I23" s="38">
        <f t="shared" si="1"/>
        <v>23.90718</v>
      </c>
      <c r="J23" s="35" t="s">
        <v>18</v>
      </c>
      <c r="K23" s="39">
        <f>23907.18/1000</f>
        <v>23.90718</v>
      </c>
    </row>
    <row r="24" spans="1:12" ht="16.5" thickBot="1" x14ac:dyDescent="0.3">
      <c r="B24" s="40"/>
      <c r="C24" s="41"/>
      <c r="D24" s="41"/>
      <c r="E24" s="41"/>
      <c r="F24" s="41"/>
      <c r="G24" s="41"/>
      <c r="H24" s="41"/>
      <c r="I24" s="41"/>
      <c r="J24" s="41"/>
      <c r="K24" s="42"/>
    </row>
    <row r="25" spans="1:12" ht="31.5" customHeight="1" x14ac:dyDescent="0.25">
      <c r="B25" s="125" t="s">
        <v>32</v>
      </c>
      <c r="C25" s="21" t="s">
        <v>33</v>
      </c>
      <c r="D25" s="21" t="s">
        <v>34</v>
      </c>
      <c r="E25" s="23">
        <v>164.9</v>
      </c>
      <c r="F25" s="23">
        <f>H25</f>
        <v>164.9</v>
      </c>
      <c r="G25" s="21" t="s">
        <v>35</v>
      </c>
      <c r="H25" s="23">
        <f>164900/1000</f>
        <v>164.9</v>
      </c>
      <c r="I25" s="23">
        <f>K25</f>
        <v>0</v>
      </c>
      <c r="J25" s="23" t="s">
        <v>18</v>
      </c>
      <c r="K25" s="27">
        <v>0</v>
      </c>
    </row>
    <row r="26" spans="1:12" s="20" customFormat="1" ht="31.5" customHeight="1" x14ac:dyDescent="0.25">
      <c r="A26" s="1"/>
      <c r="B26" s="113"/>
      <c r="C26" s="21" t="s">
        <v>33</v>
      </c>
      <c r="D26" s="21" t="s">
        <v>36</v>
      </c>
      <c r="E26" s="23">
        <v>443.4</v>
      </c>
      <c r="F26" s="23">
        <f>H26</f>
        <v>443.4</v>
      </c>
      <c r="G26" s="21" t="s">
        <v>37</v>
      </c>
      <c r="H26" s="23">
        <f>443400/1000</f>
        <v>443.4</v>
      </c>
      <c r="I26" s="23">
        <f>K26</f>
        <v>0</v>
      </c>
      <c r="J26" s="23" t="s">
        <v>18</v>
      </c>
      <c r="K26" s="19">
        <v>0</v>
      </c>
      <c r="L26" s="1"/>
    </row>
    <row r="27" spans="1:12" s="20" customFormat="1" ht="31.5" customHeight="1" x14ac:dyDescent="0.25">
      <c r="A27" s="1"/>
      <c r="B27" s="113"/>
      <c r="C27" s="118" t="s">
        <v>38</v>
      </c>
      <c r="D27" s="119"/>
      <c r="E27" s="43" t="s">
        <v>18</v>
      </c>
      <c r="F27" s="43" t="s">
        <v>18</v>
      </c>
      <c r="G27" s="43" t="s">
        <v>18</v>
      </c>
      <c r="H27" s="43" t="s">
        <v>18</v>
      </c>
      <c r="I27" s="23">
        <f>K27</f>
        <v>787.9920820000001</v>
      </c>
      <c r="J27" s="43" t="s">
        <v>18</v>
      </c>
      <c r="K27" s="27">
        <f>787992.082/1000</f>
        <v>787.9920820000001</v>
      </c>
      <c r="L27" s="1"/>
    </row>
    <row r="28" spans="1:12" ht="32.25" customHeight="1" thickBot="1" x14ac:dyDescent="0.3">
      <c r="B28" s="126"/>
      <c r="C28" s="137" t="s">
        <v>27</v>
      </c>
      <c r="D28" s="138"/>
      <c r="E28" s="35" t="s">
        <v>18</v>
      </c>
      <c r="F28" s="36">
        <f>H28</f>
        <v>18.386599999999998</v>
      </c>
      <c r="G28" s="35" t="s">
        <v>18</v>
      </c>
      <c r="H28" s="36">
        <f>K28</f>
        <v>18.386599999999998</v>
      </c>
      <c r="I28" s="37">
        <f>K28</f>
        <v>18.386599999999998</v>
      </c>
      <c r="J28" s="35" t="s">
        <v>18</v>
      </c>
      <c r="K28" s="39">
        <f>18386.6/1000</f>
        <v>18.386599999999998</v>
      </c>
    </row>
    <row r="29" spans="1:12" s="20" customFormat="1" ht="45" x14ac:dyDescent="0.25">
      <c r="A29" s="1"/>
      <c r="B29" s="44" t="s">
        <v>39</v>
      </c>
      <c r="C29" s="21" t="s">
        <v>40</v>
      </c>
      <c r="D29" s="21" t="s">
        <v>41</v>
      </c>
      <c r="E29" s="23" t="s">
        <v>18</v>
      </c>
      <c r="F29" s="23">
        <f>H29</f>
        <v>87.795500000000004</v>
      </c>
      <c r="G29" s="21" t="s">
        <v>42</v>
      </c>
      <c r="H29" s="23">
        <f>87795.5/1000</f>
        <v>87.795500000000004</v>
      </c>
      <c r="I29" s="25">
        <f>K29</f>
        <v>87.795500000000004</v>
      </c>
      <c r="J29" s="21" t="s">
        <v>43</v>
      </c>
      <c r="K29" s="34">
        <f>(53555.26+34240.24)/1000</f>
        <v>87.795500000000004</v>
      </c>
      <c r="L29" s="1"/>
    </row>
    <row r="30" spans="1:12" s="20" customFormat="1" ht="45.75" thickBot="1" x14ac:dyDescent="0.3">
      <c r="A30" s="1"/>
      <c r="B30" s="45" t="s">
        <v>44</v>
      </c>
      <c r="C30" s="28" t="s">
        <v>40</v>
      </c>
      <c r="D30" s="28" t="s">
        <v>41</v>
      </c>
      <c r="E30" s="46" t="s">
        <v>18</v>
      </c>
      <c r="F30" s="46">
        <f t="shared" ref="F30:F48" si="2">H30</f>
        <v>93.06</v>
      </c>
      <c r="G30" s="28" t="s">
        <v>42</v>
      </c>
      <c r="H30" s="46">
        <f>93060/1000</f>
        <v>93.06</v>
      </c>
      <c r="I30" s="47">
        <f t="shared" ref="I30:I36" si="3">K30</f>
        <v>93.06</v>
      </c>
      <c r="J30" s="28" t="s">
        <v>43</v>
      </c>
      <c r="K30" s="48">
        <f>93060/1000</f>
        <v>93.06</v>
      </c>
      <c r="L30" s="1"/>
    </row>
    <row r="31" spans="1:12" s="20" customFormat="1" ht="30" customHeight="1" x14ac:dyDescent="0.25">
      <c r="A31" s="1"/>
      <c r="B31" s="125" t="s">
        <v>45</v>
      </c>
      <c r="C31" s="135" t="s">
        <v>25</v>
      </c>
      <c r="D31" s="136"/>
      <c r="E31" s="10" t="s">
        <v>18</v>
      </c>
      <c r="F31" s="11">
        <f t="shared" si="2"/>
        <v>51.398974513086202</v>
      </c>
      <c r="G31" s="10" t="s">
        <v>18</v>
      </c>
      <c r="H31" s="11">
        <f>51398.9745130862/1000</f>
        <v>51.398974513086202</v>
      </c>
      <c r="I31" s="11">
        <f t="shared" si="3"/>
        <v>45.927730000000004</v>
      </c>
      <c r="J31" s="10" t="s">
        <v>18</v>
      </c>
      <c r="K31" s="13">
        <f>45927.73/1000</f>
        <v>45.927730000000004</v>
      </c>
      <c r="L31" s="1"/>
    </row>
    <row r="32" spans="1:12" s="20" customFormat="1" ht="32.25" customHeight="1" x14ac:dyDescent="0.25">
      <c r="A32" s="1"/>
      <c r="B32" s="113"/>
      <c r="C32" s="124" t="s">
        <v>26</v>
      </c>
      <c r="D32" s="115"/>
      <c r="E32" s="28" t="s">
        <v>18</v>
      </c>
      <c r="F32" s="23">
        <f t="shared" si="2"/>
        <v>51.684928550953494</v>
      </c>
      <c r="G32" s="21" t="s">
        <v>18</v>
      </c>
      <c r="H32" s="23">
        <f>51684.9285509535/1000</f>
        <v>51.684928550953494</v>
      </c>
      <c r="I32" s="23">
        <f t="shared" si="3"/>
        <v>50.374849999999995</v>
      </c>
      <c r="J32" s="21" t="s">
        <v>18</v>
      </c>
      <c r="K32" s="27">
        <f>50374.85/1000</f>
        <v>50.374849999999995</v>
      </c>
      <c r="L32" s="1"/>
    </row>
    <row r="33" spans="1:12" s="20" customFormat="1" ht="32.25" customHeight="1" x14ac:dyDescent="0.25">
      <c r="A33" s="1"/>
      <c r="B33" s="113"/>
      <c r="C33" s="118" t="s">
        <v>27</v>
      </c>
      <c r="D33" s="119"/>
      <c r="E33" s="21" t="s">
        <v>18</v>
      </c>
      <c r="F33" s="23">
        <f t="shared" si="2"/>
        <v>44.674746651244696</v>
      </c>
      <c r="G33" s="21" t="s">
        <v>18</v>
      </c>
      <c r="H33" s="23">
        <f>44674.7466512447/1000</f>
        <v>44.674746651244696</v>
      </c>
      <c r="I33" s="23">
        <f t="shared" si="3"/>
        <v>39.668080000000003</v>
      </c>
      <c r="J33" s="21" t="s">
        <v>18</v>
      </c>
      <c r="K33" s="27">
        <f>39668.08/1000</f>
        <v>39.668080000000003</v>
      </c>
      <c r="L33" s="1"/>
    </row>
    <row r="34" spans="1:12" s="20" customFormat="1" ht="31.5" customHeight="1" x14ac:dyDescent="0.25">
      <c r="A34" s="1"/>
      <c r="B34" s="113"/>
      <c r="C34" s="118" t="s">
        <v>28</v>
      </c>
      <c r="D34" s="119"/>
      <c r="E34" s="21" t="s">
        <v>18</v>
      </c>
      <c r="F34" s="23">
        <f t="shared" si="2"/>
        <v>37.618580146036898</v>
      </c>
      <c r="G34" s="21" t="s">
        <v>18</v>
      </c>
      <c r="H34" s="23">
        <f>37618.5801460369/1000</f>
        <v>37.618580146036898</v>
      </c>
      <c r="I34" s="25">
        <f t="shared" si="3"/>
        <v>35.407029999999999</v>
      </c>
      <c r="J34" s="21" t="s">
        <v>18</v>
      </c>
      <c r="K34" s="34">
        <f>35407.03/1000</f>
        <v>35.407029999999999</v>
      </c>
      <c r="L34" s="1"/>
    </row>
    <row r="35" spans="1:12" s="20" customFormat="1" ht="36.75" customHeight="1" x14ac:dyDescent="0.25">
      <c r="A35" s="1"/>
      <c r="B35" s="113"/>
      <c r="C35" s="118" t="s">
        <v>29</v>
      </c>
      <c r="D35" s="119"/>
      <c r="E35" s="21" t="s">
        <v>18</v>
      </c>
      <c r="F35" s="23">
        <f t="shared" si="2"/>
        <v>31.736937098757799</v>
      </c>
      <c r="G35" s="21" t="s">
        <v>18</v>
      </c>
      <c r="H35" s="23">
        <f>31736.9370987578/1000</f>
        <v>31.736937098757799</v>
      </c>
      <c r="I35" s="25">
        <f t="shared" si="3"/>
        <v>29.146990000000002</v>
      </c>
      <c r="J35" s="21" t="s">
        <v>18</v>
      </c>
      <c r="K35" s="34">
        <f>29146.99/1000</f>
        <v>29.146990000000002</v>
      </c>
      <c r="L35" s="1"/>
    </row>
    <row r="36" spans="1:12" s="20" customFormat="1" ht="30" customHeight="1" thickBot="1" x14ac:dyDescent="0.3">
      <c r="A36" s="1"/>
      <c r="B36" s="126"/>
      <c r="C36" s="130" t="s">
        <v>30</v>
      </c>
      <c r="D36" s="131"/>
      <c r="E36" s="29" t="s">
        <v>18</v>
      </c>
      <c r="F36" s="30">
        <f t="shared" si="2"/>
        <v>24.098530712877199</v>
      </c>
      <c r="G36" s="29" t="s">
        <v>18</v>
      </c>
      <c r="H36" s="30">
        <f>24098.5307128772/1000</f>
        <v>24.098530712877199</v>
      </c>
      <c r="I36" s="49">
        <f t="shared" si="3"/>
        <v>0</v>
      </c>
      <c r="J36" s="29" t="s">
        <v>18</v>
      </c>
      <c r="K36" s="50">
        <v>0</v>
      </c>
      <c r="L36" s="1"/>
    </row>
    <row r="37" spans="1:12" s="20" customFormat="1" ht="30.75" customHeight="1" x14ac:dyDescent="0.25">
      <c r="A37" s="1"/>
      <c r="B37" s="125" t="s">
        <v>46</v>
      </c>
      <c r="C37" s="135" t="s">
        <v>25</v>
      </c>
      <c r="D37" s="136"/>
      <c r="E37" s="10" t="s">
        <v>18</v>
      </c>
      <c r="F37" s="11">
        <f t="shared" si="2"/>
        <v>50.811861037897394</v>
      </c>
      <c r="G37" s="10" t="s">
        <v>18</v>
      </c>
      <c r="H37" s="11">
        <f>50811.8610378974/1000</f>
        <v>50.811861037897394</v>
      </c>
      <c r="I37" s="11">
        <f>K37</f>
        <v>45.471199999999996</v>
      </c>
      <c r="J37" s="10" t="s">
        <v>18</v>
      </c>
      <c r="K37" s="13">
        <f>45471.2/1000</f>
        <v>45.471199999999996</v>
      </c>
      <c r="L37" s="1"/>
    </row>
    <row r="38" spans="1:12" s="20" customFormat="1" ht="30.75" customHeight="1" x14ac:dyDescent="0.25">
      <c r="A38" s="1"/>
      <c r="B38" s="113"/>
      <c r="C38" s="124" t="s">
        <v>26</v>
      </c>
      <c r="D38" s="115"/>
      <c r="E38" s="28" t="s">
        <v>18</v>
      </c>
      <c r="F38" s="23">
        <f t="shared" si="2"/>
        <v>51.220220864777097</v>
      </c>
      <c r="G38" s="21" t="s">
        <v>18</v>
      </c>
      <c r="H38" s="23">
        <f>51220.2208647771/1000</f>
        <v>51.220220864777097</v>
      </c>
      <c r="I38" s="23">
        <f>K38</f>
        <v>50.04663</v>
      </c>
      <c r="J38" s="21" t="s">
        <v>18</v>
      </c>
      <c r="K38" s="27">
        <f>50046.63/1000</f>
        <v>50.04663</v>
      </c>
      <c r="L38" s="1"/>
    </row>
    <row r="39" spans="1:12" s="20" customFormat="1" ht="30.75" customHeight="1" x14ac:dyDescent="0.25">
      <c r="A39" s="1"/>
      <c r="B39" s="113"/>
      <c r="C39" s="118" t="s">
        <v>27</v>
      </c>
      <c r="D39" s="119"/>
      <c r="E39" s="21" t="s">
        <v>18</v>
      </c>
      <c r="F39" s="23">
        <f t="shared" si="2"/>
        <v>43.596392267197601</v>
      </c>
      <c r="G39" s="21" t="s">
        <v>18</v>
      </c>
      <c r="H39" s="23">
        <f>43596.3922671976/1000</f>
        <v>43.596392267197601</v>
      </c>
      <c r="I39" s="23">
        <f>K39</f>
        <v>36.542699999999996</v>
      </c>
      <c r="J39" s="21" t="s">
        <v>18</v>
      </c>
      <c r="K39" s="27">
        <f>36542.7/1000</f>
        <v>36.542699999999996</v>
      </c>
      <c r="L39" s="1"/>
    </row>
    <row r="40" spans="1:12" s="20" customFormat="1" ht="32.25" customHeight="1" x14ac:dyDescent="0.25">
      <c r="A40" s="1"/>
      <c r="B40" s="113"/>
      <c r="C40" s="118" t="s">
        <v>28</v>
      </c>
      <c r="D40" s="119"/>
      <c r="E40" s="21" t="s">
        <v>18</v>
      </c>
      <c r="F40" s="23">
        <f t="shared" si="2"/>
        <v>35.335858014199601</v>
      </c>
      <c r="G40" s="21" t="s">
        <v>18</v>
      </c>
      <c r="H40" s="23">
        <f>35335.8580141996/1000</f>
        <v>35.335858014199601</v>
      </c>
      <c r="I40" s="25">
        <f>K40</f>
        <v>35.407029999999999</v>
      </c>
      <c r="J40" s="21" t="s">
        <v>18</v>
      </c>
      <c r="K40" s="34">
        <f>35407.03/1000</f>
        <v>35.407029999999999</v>
      </c>
      <c r="L40" s="1"/>
    </row>
    <row r="41" spans="1:12" s="20" customFormat="1" ht="31.5" customHeight="1" x14ac:dyDescent="0.25">
      <c r="A41" s="1"/>
      <c r="B41" s="113"/>
      <c r="C41" s="118" t="s">
        <v>29</v>
      </c>
      <c r="D41" s="119"/>
      <c r="E41" s="21" t="s">
        <v>18</v>
      </c>
      <c r="F41" s="23">
        <f t="shared" si="2"/>
        <v>31.736937098757799</v>
      </c>
      <c r="G41" s="21" t="s">
        <v>18</v>
      </c>
      <c r="H41" s="23">
        <f>31736.9370987578/1000</f>
        <v>31.736937098757799</v>
      </c>
      <c r="I41" s="25">
        <f>K41</f>
        <v>29.146979999999999</v>
      </c>
      <c r="J41" s="21" t="s">
        <v>18</v>
      </c>
      <c r="K41" s="34">
        <f>29146.98/1000</f>
        <v>29.146979999999999</v>
      </c>
      <c r="L41" s="1"/>
    </row>
    <row r="42" spans="1:12" s="20" customFormat="1" ht="28.5" customHeight="1" thickBot="1" x14ac:dyDescent="0.3">
      <c r="A42" s="1"/>
      <c r="B42" s="126"/>
      <c r="C42" s="130" t="s">
        <v>30</v>
      </c>
      <c r="D42" s="131"/>
      <c r="E42" s="29" t="s">
        <v>18</v>
      </c>
      <c r="F42" s="30">
        <f t="shared" si="2"/>
        <v>24.098530712877199</v>
      </c>
      <c r="G42" s="29" t="s">
        <v>18</v>
      </c>
      <c r="H42" s="30">
        <f>24098.5307128772/1000</f>
        <v>24.098530712877199</v>
      </c>
      <c r="I42" s="49">
        <f t="shared" ref="I42:I52" si="4">K42</f>
        <v>0</v>
      </c>
      <c r="J42" s="29" t="s">
        <v>18</v>
      </c>
      <c r="K42" s="50">
        <v>0</v>
      </c>
      <c r="L42" s="1"/>
    </row>
    <row r="43" spans="1:12" s="20" customFormat="1" ht="30.75" customHeight="1" x14ac:dyDescent="0.25">
      <c r="A43" s="1"/>
      <c r="B43" s="113" t="s">
        <v>47</v>
      </c>
      <c r="C43" s="109" t="s">
        <v>25</v>
      </c>
      <c r="D43" s="110"/>
      <c r="E43" s="14" t="s">
        <v>18</v>
      </c>
      <c r="F43" s="17">
        <f t="shared" si="2"/>
        <v>49.382745600892306</v>
      </c>
      <c r="G43" s="14" t="s">
        <v>18</v>
      </c>
      <c r="H43" s="17">
        <f>49382.7456008923/1000</f>
        <v>49.382745600892306</v>
      </c>
      <c r="I43" s="17">
        <f t="shared" si="4"/>
        <v>45.471199999999996</v>
      </c>
      <c r="J43" s="14" t="s">
        <v>18</v>
      </c>
      <c r="K43" s="19">
        <f>45471.2/1000</f>
        <v>45.471199999999996</v>
      </c>
      <c r="L43" s="1"/>
    </row>
    <row r="44" spans="1:12" s="20" customFormat="1" ht="30.75" customHeight="1" x14ac:dyDescent="0.25">
      <c r="A44" s="1"/>
      <c r="B44" s="113"/>
      <c r="C44" s="118" t="s">
        <v>26</v>
      </c>
      <c r="D44" s="119"/>
      <c r="E44" s="28" t="s">
        <v>18</v>
      </c>
      <c r="F44" s="23">
        <f t="shared" si="2"/>
        <v>51.661205073137197</v>
      </c>
      <c r="G44" s="21" t="s">
        <v>18</v>
      </c>
      <c r="H44" s="23">
        <f>51661.2050731372/1000</f>
        <v>51.661205073137197</v>
      </c>
      <c r="I44" s="23">
        <f t="shared" si="4"/>
        <v>51.449550000000002</v>
      </c>
      <c r="J44" s="21" t="s">
        <v>18</v>
      </c>
      <c r="K44" s="27">
        <f>51449.55/1000</f>
        <v>51.449550000000002</v>
      </c>
      <c r="L44" s="1"/>
    </row>
    <row r="45" spans="1:12" s="20" customFormat="1" ht="30.75" customHeight="1" x14ac:dyDescent="0.25">
      <c r="A45" s="1"/>
      <c r="B45" s="113"/>
      <c r="C45" s="118" t="s">
        <v>27</v>
      </c>
      <c r="D45" s="119"/>
      <c r="E45" s="21" t="s">
        <v>18</v>
      </c>
      <c r="F45" s="23">
        <f t="shared" si="2"/>
        <v>44.642602562456297</v>
      </c>
      <c r="G45" s="21" t="s">
        <v>18</v>
      </c>
      <c r="H45" s="23">
        <f>44642.6025624563/1000</f>
        <v>44.642602562456297</v>
      </c>
      <c r="I45" s="23">
        <f t="shared" si="4"/>
        <v>36.855249999999998</v>
      </c>
      <c r="J45" s="21" t="s">
        <v>18</v>
      </c>
      <c r="K45" s="27">
        <f>36855.25/1000</f>
        <v>36.855249999999998</v>
      </c>
      <c r="L45" s="1"/>
    </row>
    <row r="46" spans="1:12" s="20" customFormat="1" ht="32.25" customHeight="1" x14ac:dyDescent="0.25">
      <c r="A46" s="1"/>
      <c r="B46" s="113"/>
      <c r="C46" s="118" t="s">
        <v>28</v>
      </c>
      <c r="D46" s="119"/>
      <c r="E46" s="21" t="s">
        <v>18</v>
      </c>
      <c r="F46" s="23">
        <f t="shared" si="2"/>
        <v>35.5641421735777</v>
      </c>
      <c r="G46" s="21" t="s">
        <v>18</v>
      </c>
      <c r="H46" s="23">
        <f>35564.1421735777/1000</f>
        <v>35.5641421735777</v>
      </c>
      <c r="I46" s="25">
        <f t="shared" si="4"/>
        <v>35.407019999999996</v>
      </c>
      <c r="J46" s="21" t="s">
        <v>18</v>
      </c>
      <c r="K46" s="34">
        <f>35407.02/1000</f>
        <v>35.407019999999996</v>
      </c>
      <c r="L46" s="1"/>
    </row>
    <row r="47" spans="1:12" s="20" customFormat="1" ht="31.5" customHeight="1" x14ac:dyDescent="0.25">
      <c r="A47" s="1"/>
      <c r="B47" s="113"/>
      <c r="C47" s="118" t="s">
        <v>29</v>
      </c>
      <c r="D47" s="119"/>
      <c r="E47" s="21" t="s">
        <v>18</v>
      </c>
      <c r="F47" s="23">
        <f t="shared" si="2"/>
        <v>31.736937098757799</v>
      </c>
      <c r="G47" s="21" t="s">
        <v>18</v>
      </c>
      <c r="H47" s="23">
        <f>31736.9370987578/1000</f>
        <v>31.736937098757799</v>
      </c>
      <c r="I47" s="25">
        <f t="shared" si="4"/>
        <v>29.146979999999999</v>
      </c>
      <c r="J47" s="21" t="s">
        <v>18</v>
      </c>
      <c r="K47" s="34">
        <f>29146.98/1000</f>
        <v>29.146979999999999</v>
      </c>
      <c r="L47" s="1"/>
    </row>
    <row r="48" spans="1:12" ht="31.5" customHeight="1" thickBot="1" x14ac:dyDescent="0.3">
      <c r="B48" s="113"/>
      <c r="C48" s="118" t="s">
        <v>30</v>
      </c>
      <c r="D48" s="119"/>
      <c r="E48" s="21" t="s">
        <v>18</v>
      </c>
      <c r="F48" s="23">
        <f t="shared" si="2"/>
        <v>24.098530712877199</v>
      </c>
      <c r="G48" s="21" t="s">
        <v>18</v>
      </c>
      <c r="H48" s="23">
        <f>24098.5307128772/1000</f>
        <v>24.098530712877199</v>
      </c>
      <c r="I48" s="25">
        <f t="shared" si="4"/>
        <v>0</v>
      </c>
      <c r="J48" s="21" t="s">
        <v>18</v>
      </c>
      <c r="K48" s="34">
        <v>0</v>
      </c>
    </row>
    <row r="49" spans="1:12" s="20" customFormat="1" ht="45" customHeight="1" x14ac:dyDescent="0.25">
      <c r="A49" s="1"/>
      <c r="B49" s="120" t="s">
        <v>48</v>
      </c>
      <c r="C49" s="10" t="s">
        <v>19</v>
      </c>
      <c r="D49" s="10" t="s">
        <v>20</v>
      </c>
      <c r="E49" s="10" t="s">
        <v>21</v>
      </c>
      <c r="F49" s="11">
        <f>H49</f>
        <v>150</v>
      </c>
      <c r="G49" s="11" t="s">
        <v>49</v>
      </c>
      <c r="H49" s="11">
        <f>150000/1000</f>
        <v>150</v>
      </c>
      <c r="I49" s="51">
        <f t="shared" si="4"/>
        <v>0</v>
      </c>
      <c r="J49" s="11" t="s">
        <v>18</v>
      </c>
      <c r="K49" s="13">
        <v>0</v>
      </c>
      <c r="L49" s="1"/>
    </row>
    <row r="50" spans="1:12" s="20" customFormat="1" ht="45" x14ac:dyDescent="0.25">
      <c r="A50" s="1"/>
      <c r="B50" s="117"/>
      <c r="C50" s="21" t="s">
        <v>40</v>
      </c>
      <c r="D50" s="21" t="s">
        <v>41</v>
      </c>
      <c r="E50" s="23" t="s">
        <v>18</v>
      </c>
      <c r="F50" s="23">
        <f t="shared" ref="F50:F52" si="5">H50</f>
        <v>143.3400044</v>
      </c>
      <c r="G50" s="23" t="s">
        <v>50</v>
      </c>
      <c r="H50" s="25">
        <f>143340.0044/1000</f>
        <v>143.3400044</v>
      </c>
      <c r="I50" s="25">
        <f t="shared" si="4"/>
        <v>143.34</v>
      </c>
      <c r="J50" s="23" t="s">
        <v>51</v>
      </c>
      <c r="K50" s="34">
        <f>143340/1000</f>
        <v>143.34</v>
      </c>
      <c r="L50" s="1"/>
    </row>
    <row r="51" spans="1:12" s="20" customFormat="1" ht="31.5" customHeight="1" thickBot="1" x14ac:dyDescent="0.3">
      <c r="A51" s="1"/>
      <c r="B51" s="117"/>
      <c r="C51" s="118" t="s">
        <v>52</v>
      </c>
      <c r="D51" s="119"/>
      <c r="E51" s="21" t="s">
        <v>18</v>
      </c>
      <c r="F51" s="23">
        <f t="shared" si="5"/>
        <v>25.7105892361967</v>
      </c>
      <c r="G51" s="21" t="s">
        <v>18</v>
      </c>
      <c r="H51" s="23">
        <f>25710.5892361967/1000</f>
        <v>25.7105892361967</v>
      </c>
      <c r="I51" s="25">
        <f>K51</f>
        <v>84.116169999999997</v>
      </c>
      <c r="J51" s="21" t="s">
        <v>18</v>
      </c>
      <c r="K51" s="34">
        <f>84116.17/1000</f>
        <v>84.116169999999997</v>
      </c>
      <c r="L51" s="1"/>
    </row>
    <row r="52" spans="1:12" s="20" customFormat="1" ht="28.5" customHeight="1" x14ac:dyDescent="0.25">
      <c r="A52" s="1"/>
      <c r="B52" s="120" t="s">
        <v>53</v>
      </c>
      <c r="C52" s="10" t="s">
        <v>19</v>
      </c>
      <c r="D52" s="10" t="s">
        <v>20</v>
      </c>
      <c r="E52" s="10" t="s">
        <v>21</v>
      </c>
      <c r="F52" s="11">
        <f t="shared" si="5"/>
        <v>300</v>
      </c>
      <c r="G52" s="11" t="s">
        <v>54</v>
      </c>
      <c r="H52" s="11">
        <f>300000/1000</f>
        <v>300</v>
      </c>
      <c r="I52" s="51">
        <f t="shared" si="4"/>
        <v>0</v>
      </c>
      <c r="J52" s="11" t="s">
        <v>18</v>
      </c>
      <c r="K52" s="13">
        <v>0</v>
      </c>
      <c r="L52" s="1"/>
    </row>
    <row r="53" spans="1:12" s="20" customFormat="1" ht="28.5" customHeight="1" thickBot="1" x14ac:dyDescent="0.3">
      <c r="A53" s="1"/>
      <c r="B53" s="134"/>
      <c r="C53" s="29" t="s">
        <v>55</v>
      </c>
      <c r="D53" s="29" t="s">
        <v>56</v>
      </c>
      <c r="E53" s="49">
        <f>1221300/1000</f>
        <v>1221.3</v>
      </c>
      <c r="F53" s="30">
        <f>H53</f>
        <v>246.73995000000002</v>
      </c>
      <c r="G53" s="30" t="s">
        <v>57</v>
      </c>
      <c r="H53" s="30">
        <f>246739.95/1000</f>
        <v>246.73995000000002</v>
      </c>
      <c r="I53" s="30">
        <f>K53</f>
        <v>0</v>
      </c>
      <c r="J53" s="30" t="s">
        <v>18</v>
      </c>
      <c r="K53" s="31">
        <v>0</v>
      </c>
      <c r="L53" s="1"/>
    </row>
    <row r="54" spans="1:12" s="20" customFormat="1" ht="16.5" thickBot="1" x14ac:dyDescent="0.3">
      <c r="A54" s="1"/>
      <c r="B54" s="52" t="s">
        <v>204</v>
      </c>
      <c r="C54" s="53"/>
      <c r="D54" s="53"/>
      <c r="E54" s="54"/>
      <c r="F54" s="55">
        <f>SUM(F9:F53)</f>
        <v>6969.9611147700953</v>
      </c>
      <c r="G54" s="56"/>
      <c r="H54" s="57">
        <f>SUM(H9:H53)</f>
        <v>6969.9611147700953</v>
      </c>
      <c r="I54" s="55">
        <f>SUM(I9:I53)</f>
        <v>2296.0732220000004</v>
      </c>
      <c r="J54" s="58"/>
      <c r="K54" s="59">
        <f>SUM(K9:K53)</f>
        <v>2296.0732220000004</v>
      </c>
      <c r="L54" s="1"/>
    </row>
    <row r="55" spans="1:12" s="20" customFormat="1" ht="16.5" customHeight="1" thickBot="1" x14ac:dyDescent="0.3">
      <c r="A55" s="1"/>
      <c r="B55" s="2"/>
      <c r="C55" s="41"/>
      <c r="D55" s="41"/>
      <c r="E55" s="41"/>
      <c r="F55" s="60" t="s">
        <v>58</v>
      </c>
      <c r="G55" s="41"/>
      <c r="H55" s="41"/>
      <c r="I55" s="41"/>
      <c r="J55" s="41"/>
      <c r="K55" s="42"/>
      <c r="L55" s="1"/>
    </row>
    <row r="56" spans="1:12" s="20" customFormat="1" ht="60" customHeight="1" x14ac:dyDescent="0.25">
      <c r="A56" s="1"/>
      <c r="B56" s="125" t="s">
        <v>59</v>
      </c>
      <c r="C56" s="10" t="s">
        <v>19</v>
      </c>
      <c r="D56" s="10" t="s">
        <v>20</v>
      </c>
      <c r="E56" s="10" t="s">
        <v>60</v>
      </c>
      <c r="F56" s="11">
        <f>H56</f>
        <v>400</v>
      </c>
      <c r="G56" s="11" t="s">
        <v>61</v>
      </c>
      <c r="H56" s="11">
        <f>400000/1000</f>
        <v>400</v>
      </c>
      <c r="I56" s="11" t="s">
        <v>18</v>
      </c>
      <c r="J56" s="11" t="s">
        <v>18</v>
      </c>
      <c r="K56" s="13">
        <v>0</v>
      </c>
      <c r="L56" s="1"/>
    </row>
    <row r="57" spans="1:12" s="20" customFormat="1" ht="45" x14ac:dyDescent="0.25">
      <c r="A57" s="1"/>
      <c r="B57" s="113"/>
      <c r="C57" s="103" t="s">
        <v>62</v>
      </c>
      <c r="D57" s="103" t="s">
        <v>63</v>
      </c>
      <c r="E57" s="100">
        <v>82000</v>
      </c>
      <c r="F57" s="100">
        <f>H57+H58+H59+H60</f>
        <v>4406.9216200000001</v>
      </c>
      <c r="G57" s="23" t="s">
        <v>64</v>
      </c>
      <c r="H57" s="23">
        <f>1421382.3/1000</f>
        <v>1421.3823</v>
      </c>
      <c r="I57" s="100">
        <f>K57+K59+K58+K60</f>
        <v>2985.5393200000003</v>
      </c>
      <c r="J57" s="46" t="s">
        <v>65</v>
      </c>
      <c r="K57" s="61">
        <f>380122.67/1000</f>
        <v>380.12266999999997</v>
      </c>
      <c r="L57" s="1"/>
    </row>
    <row r="58" spans="1:12" s="20" customFormat="1" ht="45" x14ac:dyDescent="0.25">
      <c r="A58" s="1"/>
      <c r="B58" s="113"/>
      <c r="C58" s="104"/>
      <c r="D58" s="104"/>
      <c r="E58" s="101"/>
      <c r="F58" s="101"/>
      <c r="G58" s="17" t="s">
        <v>66</v>
      </c>
      <c r="H58" s="17">
        <f>65874.55/1000</f>
        <v>65.874549999999999</v>
      </c>
      <c r="I58" s="101"/>
      <c r="J58" s="46" t="s">
        <v>67</v>
      </c>
      <c r="K58" s="61">
        <f>65874.55/1000</f>
        <v>65.874549999999999</v>
      </c>
      <c r="L58" s="1"/>
    </row>
    <row r="59" spans="1:12" s="20" customFormat="1" ht="33" customHeight="1" x14ac:dyDescent="0.25">
      <c r="A59" s="1"/>
      <c r="B59" s="113"/>
      <c r="C59" s="104"/>
      <c r="D59" s="104"/>
      <c r="E59" s="101"/>
      <c r="F59" s="101"/>
      <c r="G59" s="17" t="s">
        <v>68</v>
      </c>
      <c r="H59" s="17">
        <f>380122.67/1000</f>
        <v>380.12266999999997</v>
      </c>
      <c r="I59" s="101"/>
      <c r="J59" s="100" t="s">
        <v>69</v>
      </c>
      <c r="K59" s="106">
        <f>2539542.1/1000</f>
        <v>2539.5421000000001</v>
      </c>
      <c r="L59" s="1"/>
    </row>
    <row r="60" spans="1:12" s="20" customFormat="1" ht="30" x14ac:dyDescent="0.25">
      <c r="A60" s="1"/>
      <c r="B60" s="113"/>
      <c r="C60" s="104"/>
      <c r="D60" s="104"/>
      <c r="E60" s="101"/>
      <c r="F60" s="101"/>
      <c r="G60" s="17" t="s">
        <v>70</v>
      </c>
      <c r="H60" s="17">
        <f>2539542.1/1000</f>
        <v>2539.5421000000001</v>
      </c>
      <c r="I60" s="101"/>
      <c r="J60" s="102"/>
      <c r="K60" s="108"/>
      <c r="L60" s="1"/>
    </row>
    <row r="61" spans="1:12" s="20" customFormat="1" ht="45" x14ac:dyDescent="0.25">
      <c r="A61" s="1"/>
      <c r="B61" s="113"/>
      <c r="C61" s="103" t="s">
        <v>62</v>
      </c>
      <c r="D61" s="103" t="s">
        <v>71</v>
      </c>
      <c r="E61" s="100">
        <f>7700000/1000</f>
        <v>7700</v>
      </c>
      <c r="F61" s="100">
        <f>H61+H62+H63</f>
        <v>464.2208</v>
      </c>
      <c r="G61" s="17" t="s">
        <v>72</v>
      </c>
      <c r="H61" s="17">
        <f>118430.04/1000</f>
        <v>118.43003999999999</v>
      </c>
      <c r="I61" s="100">
        <f>K61+K62+K63+K64+K65</f>
        <v>408.14059420000001</v>
      </c>
      <c r="J61" s="26" t="s">
        <v>73</v>
      </c>
      <c r="K61" s="62">
        <f>36236.42/1000</f>
        <v>36.236419999999995</v>
      </c>
      <c r="L61" s="1"/>
    </row>
    <row r="62" spans="1:12" s="20" customFormat="1" ht="45" x14ac:dyDescent="0.25">
      <c r="A62" s="1"/>
      <c r="B62" s="113"/>
      <c r="C62" s="104"/>
      <c r="D62" s="104"/>
      <c r="E62" s="101"/>
      <c r="F62" s="101"/>
      <c r="G62" s="17" t="s">
        <v>74</v>
      </c>
      <c r="H62" s="17">
        <f>309554.34/1000</f>
        <v>309.55434000000002</v>
      </c>
      <c r="I62" s="101"/>
      <c r="J62" s="26" t="s">
        <v>75</v>
      </c>
      <c r="K62" s="27">
        <f>309554.3442/1000</f>
        <v>309.5543442</v>
      </c>
      <c r="L62" s="1"/>
    </row>
    <row r="63" spans="1:12" s="20" customFormat="1" ht="45" x14ac:dyDescent="0.25">
      <c r="A63" s="1"/>
      <c r="B63" s="113"/>
      <c r="C63" s="104"/>
      <c r="D63" s="104"/>
      <c r="E63" s="101"/>
      <c r="F63" s="101"/>
      <c r="G63" s="17" t="s">
        <v>76</v>
      </c>
      <c r="H63" s="17">
        <f>36236.42/1000</f>
        <v>36.236419999999995</v>
      </c>
      <c r="I63" s="101"/>
      <c r="J63" s="63" t="s">
        <v>77</v>
      </c>
      <c r="K63" s="27">
        <f>50407.91/1000</f>
        <v>50.407910000000001</v>
      </c>
      <c r="L63" s="1"/>
    </row>
    <row r="64" spans="1:12" s="20" customFormat="1" ht="47.25" customHeight="1" x14ac:dyDescent="0.25">
      <c r="A64" s="1"/>
      <c r="B64" s="113"/>
      <c r="C64" s="104"/>
      <c r="D64" s="104"/>
      <c r="E64" s="101"/>
      <c r="F64" s="101"/>
      <c r="G64" s="17" t="s">
        <v>18</v>
      </c>
      <c r="H64" s="17">
        <v>0</v>
      </c>
      <c r="I64" s="101"/>
      <c r="J64" s="63" t="s">
        <v>78</v>
      </c>
      <c r="K64" s="27">
        <f>3818.95/1000</f>
        <v>3.8189499999999996</v>
      </c>
      <c r="L64" s="1"/>
    </row>
    <row r="65" spans="1:12" s="20" customFormat="1" ht="30" customHeight="1" x14ac:dyDescent="0.25">
      <c r="A65" s="1"/>
      <c r="B65" s="113"/>
      <c r="C65" s="104"/>
      <c r="D65" s="104"/>
      <c r="E65" s="101"/>
      <c r="F65" s="101"/>
      <c r="G65" s="17" t="s">
        <v>18</v>
      </c>
      <c r="H65" s="17">
        <v>0</v>
      </c>
      <c r="I65" s="101"/>
      <c r="J65" s="63" t="s">
        <v>79</v>
      </c>
      <c r="K65" s="27">
        <f>8122.97/1000</f>
        <v>8.1229700000000005</v>
      </c>
      <c r="L65" s="1"/>
    </row>
    <row r="66" spans="1:12" s="20" customFormat="1" ht="30" x14ac:dyDescent="0.25">
      <c r="A66" s="1"/>
      <c r="B66" s="113"/>
      <c r="C66" s="103" t="s">
        <v>80</v>
      </c>
      <c r="D66" s="103" t="s">
        <v>81</v>
      </c>
      <c r="E66" s="100">
        <f>30668.87*16/1000</f>
        <v>490.70191999999997</v>
      </c>
      <c r="F66" s="100">
        <f>H66+H67+H68+H69</f>
        <v>122.67547999999999</v>
      </c>
      <c r="G66" s="23" t="s">
        <v>82</v>
      </c>
      <c r="H66" s="23">
        <f>61337.74/1000</f>
        <v>61.337739999999997</v>
      </c>
      <c r="I66" s="100">
        <f>K66+K67+K68+K69</f>
        <v>153.34435259999998</v>
      </c>
      <c r="J66" s="26" t="s">
        <v>83</v>
      </c>
      <c r="K66" s="27">
        <f>30668.8726/1000</f>
        <v>30.6688726</v>
      </c>
      <c r="L66" s="1"/>
    </row>
    <row r="67" spans="1:12" s="20" customFormat="1" ht="30" x14ac:dyDescent="0.25">
      <c r="A67" s="1"/>
      <c r="B67" s="113"/>
      <c r="C67" s="104"/>
      <c r="D67" s="104"/>
      <c r="E67" s="101"/>
      <c r="F67" s="101"/>
      <c r="G67" s="17" t="s">
        <v>84</v>
      </c>
      <c r="H67" s="17">
        <f>30668.87/1000</f>
        <v>30.668869999999998</v>
      </c>
      <c r="I67" s="101"/>
      <c r="J67" s="63" t="s">
        <v>85</v>
      </c>
      <c r="K67" s="19">
        <f>30668.87/1000</f>
        <v>30.668869999999998</v>
      </c>
      <c r="L67" s="1"/>
    </row>
    <row r="68" spans="1:12" s="20" customFormat="1" ht="30" x14ac:dyDescent="0.25">
      <c r="A68" s="1"/>
      <c r="B68" s="113"/>
      <c r="C68" s="104"/>
      <c r="D68" s="104"/>
      <c r="E68" s="101"/>
      <c r="F68" s="101"/>
      <c r="G68" s="17" t="s">
        <v>86</v>
      </c>
      <c r="H68" s="17">
        <f>30668.87/1000</f>
        <v>30.668869999999998</v>
      </c>
      <c r="I68" s="101"/>
      <c r="J68" s="63" t="s">
        <v>87</v>
      </c>
      <c r="K68" s="19">
        <f>61337.74/1000</f>
        <v>61.337739999999997</v>
      </c>
      <c r="L68" s="1"/>
    </row>
    <row r="69" spans="1:12" s="20" customFormat="1" ht="31.5" customHeight="1" x14ac:dyDescent="0.25">
      <c r="A69" s="1"/>
      <c r="B69" s="113"/>
      <c r="C69" s="105"/>
      <c r="D69" s="105"/>
      <c r="E69" s="102"/>
      <c r="F69" s="102"/>
      <c r="G69" s="17" t="s">
        <v>18</v>
      </c>
      <c r="H69" s="17">
        <v>0</v>
      </c>
      <c r="I69" s="102"/>
      <c r="J69" s="63" t="s">
        <v>88</v>
      </c>
      <c r="K69" s="19">
        <f>30668.87/1000</f>
        <v>30.668869999999998</v>
      </c>
      <c r="L69" s="1"/>
    </row>
    <row r="70" spans="1:12" s="20" customFormat="1" ht="30" x14ac:dyDescent="0.25">
      <c r="A70" s="1"/>
      <c r="B70" s="113"/>
      <c r="C70" s="14" t="s">
        <v>80</v>
      </c>
      <c r="D70" s="18" t="s">
        <v>89</v>
      </c>
      <c r="E70" s="64">
        <f>3303227.63/1000</f>
        <v>3303.2276299999999</v>
      </c>
      <c r="F70" s="17">
        <f>H70</f>
        <v>2972.9048700000003</v>
      </c>
      <c r="G70" s="17" t="s">
        <v>90</v>
      </c>
      <c r="H70" s="17">
        <f>2972904.87/1000</f>
        <v>2972.9048700000003</v>
      </c>
      <c r="I70" s="63">
        <f>K70</f>
        <v>0</v>
      </c>
      <c r="J70" s="17" t="s">
        <v>18</v>
      </c>
      <c r="K70" s="19">
        <v>0</v>
      </c>
      <c r="L70" s="1"/>
    </row>
    <row r="71" spans="1:12" s="20" customFormat="1" ht="30" x14ac:dyDescent="0.25">
      <c r="A71" s="1"/>
      <c r="B71" s="113"/>
      <c r="C71" s="21" t="s">
        <v>80</v>
      </c>
      <c r="D71" s="18" t="s">
        <v>91</v>
      </c>
      <c r="E71" s="64">
        <f>143412108/1000</f>
        <v>143412.10800000001</v>
      </c>
      <c r="F71" s="23">
        <f>H71</f>
        <v>32308.412049999999</v>
      </c>
      <c r="G71" s="17" t="s">
        <v>92</v>
      </c>
      <c r="H71" s="17">
        <f>32308412.05/1000</f>
        <v>32308.412049999999</v>
      </c>
      <c r="I71" s="63">
        <f>K71</f>
        <v>0</v>
      </c>
      <c r="J71" s="17" t="s">
        <v>18</v>
      </c>
      <c r="K71" s="19">
        <v>0</v>
      </c>
      <c r="L71" s="1"/>
    </row>
    <row r="72" spans="1:12" s="20" customFormat="1" ht="42.75" customHeight="1" x14ac:dyDescent="0.25">
      <c r="A72" s="1"/>
      <c r="B72" s="113"/>
      <c r="C72" s="21" t="s">
        <v>40</v>
      </c>
      <c r="D72" s="21" t="s">
        <v>41</v>
      </c>
      <c r="E72" s="21" t="s">
        <v>18</v>
      </c>
      <c r="F72" s="23">
        <f>H72</f>
        <v>62.163640000000001</v>
      </c>
      <c r="G72" s="23" t="s">
        <v>93</v>
      </c>
      <c r="H72" s="23">
        <f>62163.64/1000</f>
        <v>62.163640000000001</v>
      </c>
      <c r="I72" s="26">
        <f>K72</f>
        <v>0</v>
      </c>
      <c r="J72" s="26" t="s">
        <v>18</v>
      </c>
      <c r="K72" s="19">
        <v>0</v>
      </c>
      <c r="L72" s="1"/>
    </row>
    <row r="73" spans="1:12" s="20" customFormat="1" ht="30" x14ac:dyDescent="0.25">
      <c r="A73" s="1"/>
      <c r="B73" s="113"/>
      <c r="C73" s="103" t="s">
        <v>94</v>
      </c>
      <c r="D73" s="103" t="s">
        <v>95</v>
      </c>
      <c r="E73" s="100">
        <f>6728005.19/1000</f>
        <v>6728.0051900000008</v>
      </c>
      <c r="F73" s="100">
        <f>H73+H74+H75+H76+H77+H78+H79+H80+H81</f>
        <v>6745.9823299999998</v>
      </c>
      <c r="G73" s="23" t="s">
        <v>96</v>
      </c>
      <c r="H73" s="23">
        <f>436291/1000</f>
        <v>436.291</v>
      </c>
      <c r="I73" s="100">
        <f>K73+K74</f>
        <v>0</v>
      </c>
      <c r="J73" s="100" t="s">
        <v>18</v>
      </c>
      <c r="K73" s="106">
        <v>0</v>
      </c>
      <c r="L73" s="1"/>
    </row>
    <row r="74" spans="1:12" s="20" customFormat="1" ht="30" x14ac:dyDescent="0.25">
      <c r="A74" s="1"/>
      <c r="B74" s="113"/>
      <c r="C74" s="104"/>
      <c r="D74" s="104"/>
      <c r="E74" s="101"/>
      <c r="F74" s="101"/>
      <c r="G74" s="23" t="s">
        <v>97</v>
      </c>
      <c r="H74" s="23">
        <f>618236.72/1000</f>
        <v>618.23671999999999</v>
      </c>
      <c r="I74" s="101"/>
      <c r="J74" s="101"/>
      <c r="K74" s="107"/>
      <c r="L74" s="1"/>
    </row>
    <row r="75" spans="1:12" s="20" customFormat="1" ht="30" x14ac:dyDescent="0.25">
      <c r="A75" s="1"/>
      <c r="B75" s="113"/>
      <c r="C75" s="104"/>
      <c r="D75" s="104"/>
      <c r="E75" s="101"/>
      <c r="F75" s="101"/>
      <c r="G75" s="23" t="s">
        <v>98</v>
      </c>
      <c r="H75" s="23">
        <f>102887.28/1000</f>
        <v>102.88728</v>
      </c>
      <c r="I75" s="101"/>
      <c r="J75" s="101"/>
      <c r="K75" s="107"/>
      <c r="L75" s="1"/>
    </row>
    <row r="76" spans="1:12" s="20" customFormat="1" ht="30" x14ac:dyDescent="0.25">
      <c r="A76" s="1"/>
      <c r="B76" s="113"/>
      <c r="C76" s="104"/>
      <c r="D76" s="104"/>
      <c r="E76" s="101"/>
      <c r="F76" s="101"/>
      <c r="G76" s="23" t="s">
        <v>99</v>
      </c>
      <c r="H76" s="23">
        <f>1269676.5/1000</f>
        <v>1269.6765</v>
      </c>
      <c r="I76" s="101"/>
      <c r="J76" s="101"/>
      <c r="K76" s="107"/>
      <c r="L76" s="1"/>
    </row>
    <row r="77" spans="1:12" s="20" customFormat="1" ht="30" x14ac:dyDescent="0.25">
      <c r="A77" s="1"/>
      <c r="B77" s="113"/>
      <c r="C77" s="104"/>
      <c r="D77" s="104"/>
      <c r="E77" s="101"/>
      <c r="F77" s="101"/>
      <c r="G77" s="23" t="s">
        <v>100</v>
      </c>
      <c r="H77" s="23">
        <f>656606.92/1000</f>
        <v>656.60692000000006</v>
      </c>
      <c r="I77" s="101"/>
      <c r="J77" s="101"/>
      <c r="K77" s="107"/>
      <c r="L77" s="1"/>
    </row>
    <row r="78" spans="1:12" s="20" customFormat="1" ht="30" x14ac:dyDescent="0.25">
      <c r="A78" s="1"/>
      <c r="B78" s="113"/>
      <c r="C78" s="104"/>
      <c r="D78" s="104"/>
      <c r="E78" s="101"/>
      <c r="F78" s="101"/>
      <c r="G78" s="23" t="s">
        <v>101</v>
      </c>
      <c r="H78" s="23">
        <f>909231.36/1000</f>
        <v>909.23136</v>
      </c>
      <c r="I78" s="101"/>
      <c r="J78" s="101"/>
      <c r="K78" s="107"/>
      <c r="L78" s="1"/>
    </row>
    <row r="79" spans="1:12" s="20" customFormat="1" ht="33.75" customHeight="1" x14ac:dyDescent="0.25">
      <c r="A79" s="1"/>
      <c r="B79" s="113"/>
      <c r="C79" s="104"/>
      <c r="D79" s="104"/>
      <c r="E79" s="101"/>
      <c r="F79" s="101"/>
      <c r="G79" s="23" t="s">
        <v>102</v>
      </c>
      <c r="H79" s="23">
        <f>1082694.64/1000</f>
        <v>1082.6946399999999</v>
      </c>
      <c r="I79" s="101"/>
      <c r="J79" s="101"/>
      <c r="K79" s="107"/>
      <c r="L79" s="1"/>
    </row>
    <row r="80" spans="1:12" s="20" customFormat="1" ht="33.75" customHeight="1" x14ac:dyDescent="0.25">
      <c r="A80" s="1"/>
      <c r="B80" s="113"/>
      <c r="C80" s="104"/>
      <c r="D80" s="104"/>
      <c r="E80" s="101"/>
      <c r="F80" s="101"/>
      <c r="G80" s="23" t="s">
        <v>103</v>
      </c>
      <c r="H80" s="23">
        <f>886276.54/1000</f>
        <v>886.27654000000007</v>
      </c>
      <c r="I80" s="101"/>
      <c r="J80" s="101"/>
      <c r="K80" s="107"/>
      <c r="L80" s="1"/>
    </row>
    <row r="81" spans="1:12" s="20" customFormat="1" ht="33.75" customHeight="1" x14ac:dyDescent="0.25">
      <c r="A81" s="1"/>
      <c r="B81" s="113"/>
      <c r="C81" s="104"/>
      <c r="D81" s="104"/>
      <c r="E81" s="101"/>
      <c r="F81" s="101"/>
      <c r="G81" s="23" t="s">
        <v>104</v>
      </c>
      <c r="H81" s="23">
        <f>784081.37/1000</f>
        <v>784.08136999999999</v>
      </c>
      <c r="I81" s="102"/>
      <c r="J81" s="102"/>
      <c r="K81" s="108"/>
      <c r="L81" s="1"/>
    </row>
    <row r="82" spans="1:12" s="20" customFormat="1" ht="30" customHeight="1" x14ac:dyDescent="0.25">
      <c r="A82" s="1"/>
      <c r="B82" s="113"/>
      <c r="C82" s="103" t="s">
        <v>40</v>
      </c>
      <c r="D82" s="103" t="s">
        <v>41</v>
      </c>
      <c r="E82" s="103" t="s">
        <v>18</v>
      </c>
      <c r="F82" s="100">
        <f>H82+H83+H84+H85</f>
        <v>162.477566</v>
      </c>
      <c r="G82" s="23" t="s">
        <v>18</v>
      </c>
      <c r="H82" s="23">
        <f>14528.49/1000</f>
        <v>14.52849</v>
      </c>
      <c r="I82" s="100">
        <f>K82</f>
        <v>0</v>
      </c>
      <c r="J82" s="100" t="s">
        <v>18</v>
      </c>
      <c r="K82" s="106">
        <v>0</v>
      </c>
      <c r="L82" s="1"/>
    </row>
    <row r="83" spans="1:12" s="20" customFormat="1" ht="49.5" customHeight="1" x14ac:dyDescent="0.25">
      <c r="A83" s="1"/>
      <c r="B83" s="113"/>
      <c r="C83" s="104"/>
      <c r="D83" s="104"/>
      <c r="E83" s="104"/>
      <c r="F83" s="101"/>
      <c r="G83" s="23" t="s">
        <v>105</v>
      </c>
      <c r="H83" s="23">
        <f>20587.29/1000</f>
        <v>20.587289999999999</v>
      </c>
      <c r="I83" s="101"/>
      <c r="J83" s="101"/>
      <c r="K83" s="107"/>
      <c r="L83" s="1"/>
    </row>
    <row r="84" spans="1:12" s="20" customFormat="1" ht="65.25" customHeight="1" x14ac:dyDescent="0.25">
      <c r="A84" s="1"/>
      <c r="B84" s="113"/>
      <c r="C84" s="104"/>
      <c r="D84" s="104"/>
      <c r="E84" s="104"/>
      <c r="F84" s="101"/>
      <c r="G84" s="23" t="s">
        <v>106</v>
      </c>
      <c r="H84" s="23">
        <f>97848.786/1000</f>
        <v>97.84878599999999</v>
      </c>
      <c r="I84" s="101"/>
      <c r="J84" s="101"/>
      <c r="K84" s="107"/>
      <c r="L84" s="1"/>
    </row>
    <row r="85" spans="1:12" s="20" customFormat="1" ht="65.25" customHeight="1" x14ac:dyDescent="0.25">
      <c r="A85" s="1"/>
      <c r="B85" s="113"/>
      <c r="C85" s="105"/>
      <c r="D85" s="105"/>
      <c r="E85" s="105"/>
      <c r="F85" s="102"/>
      <c r="G85" s="21" t="s">
        <v>42</v>
      </c>
      <c r="H85" s="23">
        <f>29513/1000</f>
        <v>29.513000000000002</v>
      </c>
      <c r="I85" s="102"/>
      <c r="J85" s="102"/>
      <c r="K85" s="108"/>
      <c r="L85" s="1"/>
    </row>
    <row r="86" spans="1:12" s="20" customFormat="1" ht="28.5" customHeight="1" x14ac:dyDescent="0.25">
      <c r="A86" s="1"/>
      <c r="B86" s="113"/>
      <c r="C86" s="103" t="s">
        <v>107</v>
      </c>
      <c r="D86" s="103" t="s">
        <v>108</v>
      </c>
      <c r="E86" s="100">
        <f>500000/1000</f>
        <v>500</v>
      </c>
      <c r="F86" s="100">
        <f>H86+H87</f>
        <v>500</v>
      </c>
      <c r="G86" s="23" t="s">
        <v>109</v>
      </c>
      <c r="H86" s="23">
        <f>250000/1000</f>
        <v>250</v>
      </c>
      <c r="I86" s="100">
        <f>K86+K87</f>
        <v>0</v>
      </c>
      <c r="J86" s="100" t="s">
        <v>18</v>
      </c>
      <c r="K86" s="106">
        <v>0</v>
      </c>
      <c r="L86" s="1"/>
    </row>
    <row r="87" spans="1:12" s="20" customFormat="1" ht="28.5" customHeight="1" x14ac:dyDescent="0.25">
      <c r="A87" s="1"/>
      <c r="B87" s="113"/>
      <c r="C87" s="105"/>
      <c r="D87" s="105"/>
      <c r="E87" s="102"/>
      <c r="F87" s="102"/>
      <c r="G87" s="23" t="s">
        <v>110</v>
      </c>
      <c r="H87" s="23">
        <f>250000/1000</f>
        <v>250</v>
      </c>
      <c r="I87" s="102"/>
      <c r="J87" s="102"/>
      <c r="K87" s="108"/>
      <c r="L87" s="1"/>
    </row>
    <row r="88" spans="1:12" s="20" customFormat="1" ht="30" customHeight="1" x14ac:dyDescent="0.25">
      <c r="A88" s="1"/>
      <c r="B88" s="113"/>
      <c r="C88" s="132" t="s">
        <v>111</v>
      </c>
      <c r="D88" s="116"/>
      <c r="E88" s="16" t="s">
        <v>18</v>
      </c>
      <c r="F88" s="17">
        <f t="shared" ref="F88:F99" si="6">H88</f>
        <v>140.96976000000001</v>
      </c>
      <c r="G88" s="16" t="s">
        <v>18</v>
      </c>
      <c r="H88" s="17">
        <f>140969.76/1000</f>
        <v>140.96976000000001</v>
      </c>
      <c r="I88" s="17">
        <f t="shared" ref="I88:I114" si="7">K88</f>
        <v>140.96976000000001</v>
      </c>
      <c r="J88" s="63" t="s">
        <v>18</v>
      </c>
      <c r="K88" s="19">
        <f>H88</f>
        <v>140.96976000000001</v>
      </c>
      <c r="L88" s="1"/>
    </row>
    <row r="89" spans="1:12" s="20" customFormat="1" ht="30.75" customHeight="1" x14ac:dyDescent="0.25">
      <c r="A89" s="1"/>
      <c r="B89" s="113"/>
      <c r="C89" s="133" t="s">
        <v>112</v>
      </c>
      <c r="D89" s="119"/>
      <c r="E89" s="23" t="s">
        <v>18</v>
      </c>
      <c r="F89" s="23">
        <f t="shared" si="6"/>
        <v>123.94182000000001</v>
      </c>
      <c r="G89" s="23" t="s">
        <v>18</v>
      </c>
      <c r="H89" s="17">
        <f>123941.82/1000</f>
        <v>123.94182000000001</v>
      </c>
      <c r="I89" s="17">
        <f t="shared" si="7"/>
        <v>123.94182000000001</v>
      </c>
      <c r="J89" s="17" t="s">
        <v>18</v>
      </c>
      <c r="K89" s="19">
        <f>123941.82/1000</f>
        <v>123.94182000000001</v>
      </c>
      <c r="L89" s="1"/>
    </row>
    <row r="90" spans="1:12" s="20" customFormat="1" ht="31.5" customHeight="1" x14ac:dyDescent="0.25">
      <c r="A90" s="1"/>
      <c r="B90" s="113"/>
      <c r="C90" s="132" t="s">
        <v>113</v>
      </c>
      <c r="D90" s="116"/>
      <c r="E90" s="16" t="s">
        <v>18</v>
      </c>
      <c r="F90" s="17">
        <f t="shared" si="6"/>
        <v>61.980620000000002</v>
      </c>
      <c r="G90" s="16" t="s">
        <v>18</v>
      </c>
      <c r="H90" s="23">
        <f>61980.62/1000</f>
        <v>61.980620000000002</v>
      </c>
      <c r="I90" s="63">
        <f t="shared" si="7"/>
        <v>61.980620000000002</v>
      </c>
      <c r="J90" s="63" t="s">
        <v>18</v>
      </c>
      <c r="K90" s="19">
        <f>61980.62/1000</f>
        <v>61.980620000000002</v>
      </c>
      <c r="L90" s="1"/>
    </row>
    <row r="91" spans="1:12" s="20" customFormat="1" ht="32.25" customHeight="1" x14ac:dyDescent="0.25">
      <c r="A91" s="1"/>
      <c r="B91" s="113"/>
      <c r="C91" s="133" t="s">
        <v>114</v>
      </c>
      <c r="D91" s="119"/>
      <c r="E91" s="23" t="s">
        <v>18</v>
      </c>
      <c r="F91" s="23">
        <f t="shared" si="6"/>
        <v>52.593230000000005</v>
      </c>
      <c r="G91" s="23" t="s">
        <v>18</v>
      </c>
      <c r="H91" s="17">
        <f>52593.23/1000</f>
        <v>52.593230000000005</v>
      </c>
      <c r="I91" s="17">
        <f t="shared" si="7"/>
        <v>52.593230000000005</v>
      </c>
      <c r="J91" s="17" t="s">
        <v>18</v>
      </c>
      <c r="K91" s="32">
        <f>52593.23/1000</f>
        <v>52.593230000000005</v>
      </c>
      <c r="L91" s="1"/>
    </row>
    <row r="92" spans="1:12" s="20" customFormat="1" ht="30" customHeight="1" x14ac:dyDescent="0.25">
      <c r="A92" s="1"/>
      <c r="B92" s="113"/>
      <c r="C92" s="133" t="s">
        <v>115</v>
      </c>
      <c r="D92" s="119"/>
      <c r="E92" s="23" t="s">
        <v>18</v>
      </c>
      <c r="F92" s="23">
        <f t="shared" si="6"/>
        <v>58.447319999999998</v>
      </c>
      <c r="G92" s="23" t="s">
        <v>18</v>
      </c>
      <c r="H92" s="25">
        <f>58447.32/1000</f>
        <v>58.447319999999998</v>
      </c>
      <c r="I92" s="26">
        <f t="shared" si="7"/>
        <v>58.447319999999998</v>
      </c>
      <c r="J92" s="23" t="s">
        <v>18</v>
      </c>
      <c r="K92" s="32">
        <f>58447.32/1000</f>
        <v>58.447319999999998</v>
      </c>
      <c r="L92" s="1"/>
    </row>
    <row r="93" spans="1:12" s="20" customFormat="1" ht="30" customHeight="1" x14ac:dyDescent="0.25">
      <c r="A93" s="1"/>
      <c r="B93" s="113"/>
      <c r="C93" s="133" t="s">
        <v>116</v>
      </c>
      <c r="D93" s="119"/>
      <c r="E93" s="23" t="s">
        <v>18</v>
      </c>
      <c r="F93" s="23">
        <f t="shared" si="6"/>
        <v>527.19017000000008</v>
      </c>
      <c r="G93" s="23" t="s">
        <v>18</v>
      </c>
      <c r="H93" s="17">
        <f>527190.17/1000</f>
        <v>527.19017000000008</v>
      </c>
      <c r="I93" s="23">
        <f t="shared" si="7"/>
        <v>527.19017000000008</v>
      </c>
      <c r="J93" s="23" t="s">
        <v>18</v>
      </c>
      <c r="K93" s="32">
        <f>527190.17/1000</f>
        <v>527.19017000000008</v>
      </c>
      <c r="L93" s="1"/>
    </row>
    <row r="94" spans="1:12" s="20" customFormat="1" ht="32.25" customHeight="1" x14ac:dyDescent="0.25">
      <c r="A94" s="1"/>
      <c r="B94" s="113"/>
      <c r="C94" s="118" t="s">
        <v>25</v>
      </c>
      <c r="D94" s="119"/>
      <c r="E94" s="21" t="s">
        <v>18</v>
      </c>
      <c r="F94" s="23">
        <f t="shared" si="6"/>
        <v>164.09325633851103</v>
      </c>
      <c r="G94" s="21" t="s">
        <v>18</v>
      </c>
      <c r="H94" s="23">
        <f>164093.256338511/1000</f>
        <v>164.09325633851103</v>
      </c>
      <c r="I94" s="23">
        <f t="shared" si="7"/>
        <v>197.64601000000002</v>
      </c>
      <c r="J94" s="21" t="s">
        <v>18</v>
      </c>
      <c r="K94" s="27">
        <f>197646.01/1000</f>
        <v>197.64601000000002</v>
      </c>
      <c r="L94" s="1"/>
    </row>
    <row r="95" spans="1:12" s="20" customFormat="1" ht="30" customHeight="1" x14ac:dyDescent="0.25">
      <c r="A95" s="1"/>
      <c r="B95" s="113"/>
      <c r="C95" s="124" t="s">
        <v>26</v>
      </c>
      <c r="D95" s="115"/>
      <c r="E95" s="28" t="s">
        <v>18</v>
      </c>
      <c r="F95" s="23">
        <f t="shared" si="6"/>
        <v>216.167719728804</v>
      </c>
      <c r="G95" s="21" t="s">
        <v>18</v>
      </c>
      <c r="H95" s="23">
        <f>216167.719728804/1000</f>
        <v>216.167719728804</v>
      </c>
      <c r="I95" s="23">
        <f t="shared" si="7"/>
        <v>213.09222</v>
      </c>
      <c r="J95" s="21" t="s">
        <v>18</v>
      </c>
      <c r="K95" s="27">
        <f>213092.22/1000</f>
        <v>213.09222</v>
      </c>
      <c r="L95" s="1"/>
    </row>
    <row r="96" spans="1:12" s="20" customFormat="1" ht="30" customHeight="1" x14ac:dyDescent="0.25">
      <c r="A96" s="1"/>
      <c r="B96" s="113"/>
      <c r="C96" s="124" t="s">
        <v>27</v>
      </c>
      <c r="D96" s="115"/>
      <c r="E96" s="28" t="s">
        <v>18</v>
      </c>
      <c r="F96" s="46">
        <f t="shared" si="6"/>
        <v>191.81648926286502</v>
      </c>
      <c r="G96" s="28" t="s">
        <v>18</v>
      </c>
      <c r="H96" s="46">
        <f>191816.489262865/1000</f>
        <v>191.81648926286502</v>
      </c>
      <c r="I96" s="46">
        <f>K96</f>
        <v>194.12916000000001</v>
      </c>
      <c r="J96" s="28" t="s">
        <v>18</v>
      </c>
      <c r="K96" s="61">
        <f>194129.16/1000</f>
        <v>194.12916000000001</v>
      </c>
      <c r="L96" s="1"/>
    </row>
    <row r="97" spans="1:12" s="20" customFormat="1" ht="31.5" customHeight="1" x14ac:dyDescent="0.25">
      <c r="A97" s="1"/>
      <c r="B97" s="113"/>
      <c r="C97" s="124" t="s">
        <v>28</v>
      </c>
      <c r="D97" s="115"/>
      <c r="E97" s="28" t="s">
        <v>18</v>
      </c>
      <c r="F97" s="46">
        <f t="shared" si="6"/>
        <v>191.497466267037</v>
      </c>
      <c r="G97" s="28" t="s">
        <v>18</v>
      </c>
      <c r="H97" s="46">
        <f>191497.466267037/1000</f>
        <v>191.497466267037</v>
      </c>
      <c r="I97" s="46">
        <f t="shared" si="7"/>
        <v>185.36707000000001</v>
      </c>
      <c r="J97" s="28" t="s">
        <v>18</v>
      </c>
      <c r="K97" s="61">
        <f>185367.07/1000</f>
        <v>185.36707000000001</v>
      </c>
      <c r="L97" s="1"/>
    </row>
    <row r="98" spans="1:12" s="20" customFormat="1" ht="31.5" customHeight="1" x14ac:dyDescent="0.25">
      <c r="A98" s="1"/>
      <c r="B98" s="113"/>
      <c r="C98" s="124" t="s">
        <v>29</v>
      </c>
      <c r="D98" s="115"/>
      <c r="E98" s="28" t="s">
        <v>18</v>
      </c>
      <c r="F98" s="46">
        <f t="shared" si="6"/>
        <v>193.21220421531498</v>
      </c>
      <c r="G98" s="28" t="s">
        <v>18</v>
      </c>
      <c r="H98" s="46">
        <f>193212.204215315/1000</f>
        <v>193.21220421531498</v>
      </c>
      <c r="I98" s="46">
        <f t="shared" si="7"/>
        <v>226.22585999999998</v>
      </c>
      <c r="J98" s="28" t="s">
        <v>18</v>
      </c>
      <c r="K98" s="61">
        <f>226225.86/1000</f>
        <v>226.22585999999998</v>
      </c>
      <c r="L98" s="1"/>
    </row>
    <row r="99" spans="1:12" s="20" customFormat="1" ht="31.5" customHeight="1" thickBot="1" x14ac:dyDescent="0.3">
      <c r="A99" s="1"/>
      <c r="B99" s="126"/>
      <c r="C99" s="130" t="s">
        <v>30</v>
      </c>
      <c r="D99" s="131"/>
      <c r="E99" s="29" t="s">
        <v>18</v>
      </c>
      <c r="F99" s="30">
        <f t="shared" si="6"/>
        <v>218.54530841257099</v>
      </c>
      <c r="G99" s="29" t="s">
        <v>18</v>
      </c>
      <c r="H99" s="30">
        <f>218545.308412571/1000</f>
        <v>218.54530841257099</v>
      </c>
      <c r="I99" s="30">
        <f t="shared" si="7"/>
        <v>172.12935999999999</v>
      </c>
      <c r="J99" s="29" t="s">
        <v>18</v>
      </c>
      <c r="K99" s="31">
        <f>172129.36/1000</f>
        <v>172.12935999999999</v>
      </c>
      <c r="L99" s="1"/>
    </row>
    <row r="100" spans="1:12" s="20" customFormat="1" ht="30.75" customHeight="1" x14ac:dyDescent="0.25">
      <c r="A100" s="1"/>
      <c r="B100" s="113" t="s">
        <v>117</v>
      </c>
      <c r="C100" s="14" t="s">
        <v>19</v>
      </c>
      <c r="D100" s="18" t="s">
        <v>20</v>
      </c>
      <c r="E100" s="17" t="s">
        <v>21</v>
      </c>
      <c r="F100" s="17">
        <f t="shared" ref="F100:F105" si="8">H100</f>
        <v>500</v>
      </c>
      <c r="G100" s="17" t="s">
        <v>118</v>
      </c>
      <c r="H100" s="17">
        <f>500000/1000</f>
        <v>500</v>
      </c>
      <c r="I100" s="24">
        <f t="shared" si="7"/>
        <v>0</v>
      </c>
      <c r="J100" s="17" t="s">
        <v>18</v>
      </c>
      <c r="K100" s="19">
        <v>0</v>
      </c>
      <c r="L100" s="1"/>
    </row>
    <row r="101" spans="1:12" s="20" customFormat="1" ht="63" customHeight="1" x14ac:dyDescent="0.25">
      <c r="A101" s="1"/>
      <c r="B101" s="113"/>
      <c r="C101" s="14" t="s">
        <v>23</v>
      </c>
      <c r="D101" s="14" t="s">
        <v>18</v>
      </c>
      <c r="E101" s="17" t="s">
        <v>18</v>
      </c>
      <c r="F101" s="17">
        <f t="shared" si="8"/>
        <v>22.472999999999999</v>
      </c>
      <c r="G101" s="23" t="s">
        <v>119</v>
      </c>
      <c r="H101" s="23">
        <f>22473/1000</f>
        <v>22.472999999999999</v>
      </c>
      <c r="I101" s="17">
        <f t="shared" si="7"/>
        <v>0</v>
      </c>
      <c r="J101" s="26" t="s">
        <v>18</v>
      </c>
      <c r="K101" s="19">
        <v>0</v>
      </c>
      <c r="L101" s="1"/>
    </row>
    <row r="102" spans="1:12" s="20" customFormat="1" ht="45.75" customHeight="1" x14ac:dyDescent="0.25">
      <c r="A102" s="1"/>
      <c r="B102" s="113"/>
      <c r="C102" s="21" t="s">
        <v>40</v>
      </c>
      <c r="D102" s="22" t="s">
        <v>41</v>
      </c>
      <c r="E102" s="23" t="s">
        <v>18</v>
      </c>
      <c r="F102" s="23">
        <f t="shared" si="8"/>
        <v>6433.7478541999999</v>
      </c>
      <c r="G102" s="23" t="s">
        <v>120</v>
      </c>
      <c r="H102" s="23">
        <f>6433747.8542/1000</f>
        <v>6433.7478541999999</v>
      </c>
      <c r="I102" s="23">
        <f>K102</f>
        <v>6433.7478499999997</v>
      </c>
      <c r="J102" s="23" t="s">
        <v>121</v>
      </c>
      <c r="K102" s="27">
        <f>6433747.85/1000</f>
        <v>6433.7478499999997</v>
      </c>
      <c r="L102" s="1"/>
    </row>
    <row r="103" spans="1:12" s="20" customFormat="1" ht="30" customHeight="1" x14ac:dyDescent="0.25">
      <c r="A103" s="1"/>
      <c r="B103" s="113"/>
      <c r="C103" s="132" t="s">
        <v>25</v>
      </c>
      <c r="D103" s="116"/>
      <c r="E103" s="14" t="s">
        <v>18</v>
      </c>
      <c r="F103" s="17">
        <f t="shared" si="8"/>
        <v>29.064313975861602</v>
      </c>
      <c r="G103" s="14" t="s">
        <v>18</v>
      </c>
      <c r="H103" s="17">
        <f>29064.3139758616/1000</f>
        <v>29.064313975861602</v>
      </c>
      <c r="I103" s="24">
        <f t="shared" si="7"/>
        <v>112.29562</v>
      </c>
      <c r="J103" s="14" t="s">
        <v>18</v>
      </c>
      <c r="K103" s="32">
        <f>112295.62/1000</f>
        <v>112.29562</v>
      </c>
      <c r="L103" s="1"/>
    </row>
    <row r="104" spans="1:12" s="20" customFormat="1" ht="29.25" customHeight="1" x14ac:dyDescent="0.25">
      <c r="A104" s="1"/>
      <c r="B104" s="113"/>
      <c r="C104" s="105" t="s">
        <v>26</v>
      </c>
      <c r="D104" s="105"/>
      <c r="E104" s="14" t="s">
        <v>18</v>
      </c>
      <c r="F104" s="17">
        <f t="shared" si="8"/>
        <v>109.727895345752</v>
      </c>
      <c r="G104" s="14" t="s">
        <v>18</v>
      </c>
      <c r="H104" s="17">
        <f>109727.895345752/1000</f>
        <v>109.727895345752</v>
      </c>
      <c r="I104" s="24">
        <f t="shared" si="7"/>
        <v>82.091610000000003</v>
      </c>
      <c r="J104" s="14" t="s">
        <v>18</v>
      </c>
      <c r="K104" s="32">
        <f>82091.61/1000</f>
        <v>82.091610000000003</v>
      </c>
      <c r="L104" s="1"/>
    </row>
    <row r="105" spans="1:12" s="20" customFormat="1" ht="32.25" customHeight="1" x14ac:dyDescent="0.25">
      <c r="A105" s="1"/>
      <c r="B105" s="113"/>
      <c r="C105" s="118" t="s">
        <v>27</v>
      </c>
      <c r="D105" s="119"/>
      <c r="E105" s="21" t="s">
        <v>18</v>
      </c>
      <c r="F105" s="23">
        <f t="shared" si="8"/>
        <v>81.497852443932103</v>
      </c>
      <c r="G105" s="21" t="s">
        <v>18</v>
      </c>
      <c r="H105" s="23">
        <f>81497.8524439321/1000</f>
        <v>81.497852443932103</v>
      </c>
      <c r="I105" s="25">
        <f t="shared" si="7"/>
        <v>101.69999</v>
      </c>
      <c r="J105" s="21" t="s">
        <v>18</v>
      </c>
      <c r="K105" s="34">
        <f>101699.99/1000</f>
        <v>101.69999</v>
      </c>
      <c r="L105" s="1"/>
    </row>
    <row r="106" spans="1:12" s="20" customFormat="1" ht="32.25" customHeight="1" x14ac:dyDescent="0.25">
      <c r="A106" s="1"/>
      <c r="B106" s="113"/>
      <c r="C106" s="132" t="s">
        <v>28</v>
      </c>
      <c r="D106" s="116"/>
      <c r="E106" s="14" t="s">
        <v>18</v>
      </c>
      <c r="F106" s="17">
        <f t="shared" ref="F106:F114" si="9">H106</f>
        <v>100.813579940238</v>
      </c>
      <c r="G106" s="17" t="s">
        <v>18</v>
      </c>
      <c r="H106" s="17">
        <f>100813.579940238/1000</f>
        <v>100.813579940238</v>
      </c>
      <c r="I106" s="24">
        <f t="shared" si="7"/>
        <v>107.11291</v>
      </c>
      <c r="J106" s="14" t="s">
        <v>18</v>
      </c>
      <c r="K106" s="32">
        <f>107112.91/1000</f>
        <v>107.11291</v>
      </c>
      <c r="L106" s="1"/>
    </row>
    <row r="107" spans="1:12" s="20" customFormat="1" ht="31.5" customHeight="1" x14ac:dyDescent="0.25">
      <c r="A107" s="1"/>
      <c r="B107" s="113"/>
      <c r="C107" s="105" t="s">
        <v>29</v>
      </c>
      <c r="D107" s="105"/>
      <c r="E107" s="14" t="s">
        <v>18</v>
      </c>
      <c r="F107" s="17">
        <f t="shared" si="9"/>
        <v>105.362843865025</v>
      </c>
      <c r="G107" s="14" t="s">
        <v>18</v>
      </c>
      <c r="H107" s="17">
        <f>105362.843865025/1000</f>
        <v>105.362843865025</v>
      </c>
      <c r="I107" s="24">
        <f t="shared" si="7"/>
        <v>101.25869999999999</v>
      </c>
      <c r="J107" s="14" t="s">
        <v>18</v>
      </c>
      <c r="K107" s="32">
        <f>101258.7/1000</f>
        <v>101.25869999999999</v>
      </c>
      <c r="L107" s="1"/>
    </row>
    <row r="108" spans="1:12" s="20" customFormat="1" ht="30" customHeight="1" thickBot="1" x14ac:dyDescent="0.3">
      <c r="A108" s="1"/>
      <c r="B108" s="113"/>
      <c r="C108" s="124" t="s">
        <v>30</v>
      </c>
      <c r="D108" s="115"/>
      <c r="E108" s="28" t="s">
        <v>18</v>
      </c>
      <c r="F108" s="46">
        <f t="shared" si="9"/>
        <v>102.694207230535</v>
      </c>
      <c r="G108" s="28" t="s">
        <v>18</v>
      </c>
      <c r="H108" s="46">
        <f>102694.207230535/1000</f>
        <v>102.694207230535</v>
      </c>
      <c r="I108" s="47">
        <f t="shared" si="7"/>
        <v>79.847610000000003</v>
      </c>
      <c r="J108" s="28" t="s">
        <v>18</v>
      </c>
      <c r="K108" s="48">
        <f>79847.61/1000</f>
        <v>79.847610000000003</v>
      </c>
      <c r="L108" s="1"/>
    </row>
    <row r="109" spans="1:12" s="20" customFormat="1" ht="93.75" customHeight="1" x14ac:dyDescent="0.25">
      <c r="A109" s="1"/>
      <c r="B109" s="125" t="s">
        <v>122</v>
      </c>
      <c r="C109" s="121" t="s">
        <v>123</v>
      </c>
      <c r="D109" s="122"/>
      <c r="E109" s="65" t="s">
        <v>18</v>
      </c>
      <c r="F109" s="11">
        <f t="shared" si="9"/>
        <v>5.0861400000000003</v>
      </c>
      <c r="G109" s="11" t="s">
        <v>18</v>
      </c>
      <c r="H109" s="11">
        <f>K109</f>
        <v>5.0861400000000003</v>
      </c>
      <c r="I109" s="11">
        <f t="shared" si="7"/>
        <v>5.0861400000000003</v>
      </c>
      <c r="J109" s="11" t="s">
        <v>18</v>
      </c>
      <c r="K109" s="13">
        <f>5086.14/1000</f>
        <v>5.0861400000000003</v>
      </c>
      <c r="L109" s="1"/>
    </row>
    <row r="110" spans="1:12" s="20" customFormat="1" ht="58.5" customHeight="1" x14ac:dyDescent="0.25">
      <c r="A110" s="1"/>
      <c r="B110" s="113"/>
      <c r="C110" s="118" t="s">
        <v>124</v>
      </c>
      <c r="D110" s="119"/>
      <c r="E110" s="64" t="s">
        <v>18</v>
      </c>
      <c r="F110" s="17" t="str">
        <f t="shared" si="9"/>
        <v>__</v>
      </c>
      <c r="G110" s="17" t="s">
        <v>18</v>
      </c>
      <c r="H110" s="17" t="s">
        <v>18</v>
      </c>
      <c r="I110" s="17">
        <f t="shared" si="7"/>
        <v>69.000004400000009</v>
      </c>
      <c r="J110" s="17" t="s">
        <v>18</v>
      </c>
      <c r="K110" s="66">
        <f>69000.0044/1000</f>
        <v>69.000004400000009</v>
      </c>
      <c r="L110" s="1"/>
    </row>
    <row r="111" spans="1:12" s="20" customFormat="1" ht="58.5" customHeight="1" x14ac:dyDescent="0.25">
      <c r="A111" s="1"/>
      <c r="B111" s="113"/>
      <c r="C111" s="118" t="s">
        <v>125</v>
      </c>
      <c r="D111" s="119"/>
      <c r="E111" s="64" t="s">
        <v>18</v>
      </c>
      <c r="F111" s="17" t="str">
        <f t="shared" si="9"/>
        <v>__</v>
      </c>
      <c r="G111" s="17" t="s">
        <v>18</v>
      </c>
      <c r="H111" s="17" t="s">
        <v>18</v>
      </c>
      <c r="I111" s="17">
        <f t="shared" si="7"/>
        <v>69.000004400000009</v>
      </c>
      <c r="J111" s="17" t="s">
        <v>18</v>
      </c>
      <c r="K111" s="66">
        <f>69000.0044/1000</f>
        <v>69.000004400000009</v>
      </c>
      <c r="L111" s="1"/>
    </row>
    <row r="112" spans="1:12" s="20" customFormat="1" ht="58.5" customHeight="1" x14ac:dyDescent="0.25">
      <c r="A112" s="1"/>
      <c r="B112" s="113"/>
      <c r="C112" s="118" t="s">
        <v>126</v>
      </c>
      <c r="D112" s="119"/>
      <c r="E112" s="64"/>
      <c r="F112" s="17">
        <f t="shared" si="9"/>
        <v>1.01722</v>
      </c>
      <c r="G112" s="17"/>
      <c r="H112" s="17">
        <f>K112</f>
        <v>1.01722</v>
      </c>
      <c r="I112" s="17">
        <f t="shared" si="7"/>
        <v>1.01722</v>
      </c>
      <c r="J112" s="17" t="s">
        <v>18</v>
      </c>
      <c r="K112" s="66">
        <f>1017.22/1000</f>
        <v>1.01722</v>
      </c>
      <c r="L112" s="1"/>
    </row>
    <row r="113" spans="1:12" s="20" customFormat="1" ht="58.5" customHeight="1" x14ac:dyDescent="0.25">
      <c r="A113" s="1"/>
      <c r="B113" s="113"/>
      <c r="C113" s="118" t="s">
        <v>127</v>
      </c>
      <c r="D113" s="119"/>
      <c r="E113" s="64"/>
      <c r="F113" s="17">
        <f t="shared" si="9"/>
        <v>1.01722</v>
      </c>
      <c r="G113" s="17"/>
      <c r="H113" s="17">
        <f>K113</f>
        <v>1.01722</v>
      </c>
      <c r="I113" s="17">
        <f t="shared" si="7"/>
        <v>1.01722</v>
      </c>
      <c r="J113" s="17" t="s">
        <v>18</v>
      </c>
      <c r="K113" s="66">
        <f>1017.22/1000</f>
        <v>1.01722</v>
      </c>
      <c r="L113" s="1"/>
    </row>
    <row r="114" spans="1:12" s="20" customFormat="1" ht="58.5" customHeight="1" thickBot="1" x14ac:dyDescent="0.3">
      <c r="A114" s="1"/>
      <c r="B114" s="126"/>
      <c r="C114" s="29" t="s">
        <v>128</v>
      </c>
      <c r="D114" s="67" t="s">
        <v>129</v>
      </c>
      <c r="E114" s="68">
        <f>828000/1000</f>
        <v>828</v>
      </c>
      <c r="F114" s="36">
        <f t="shared" si="9"/>
        <v>828</v>
      </c>
      <c r="G114" s="36" t="s">
        <v>130</v>
      </c>
      <c r="H114" s="36">
        <v>828</v>
      </c>
      <c r="I114" s="36">
        <f t="shared" si="7"/>
        <v>0</v>
      </c>
      <c r="J114" s="36" t="s">
        <v>18</v>
      </c>
      <c r="K114" s="69">
        <v>0</v>
      </c>
      <c r="L114" s="1"/>
    </row>
    <row r="115" spans="1:12" s="20" customFormat="1" ht="45" x14ac:dyDescent="0.25">
      <c r="A115" s="1"/>
      <c r="B115" s="125" t="s">
        <v>205</v>
      </c>
      <c r="C115" s="127" t="s">
        <v>131</v>
      </c>
      <c r="D115" s="128" t="s">
        <v>132</v>
      </c>
      <c r="E115" s="123">
        <f>33884745.19/1000</f>
        <v>33884.745189999994</v>
      </c>
      <c r="F115" s="123">
        <f>H115</f>
        <v>0</v>
      </c>
      <c r="G115" s="123" t="s">
        <v>18</v>
      </c>
      <c r="H115" s="123">
        <v>0</v>
      </c>
      <c r="I115" s="123">
        <f>K115+K116+K117+K118+K119+K120+K121+K122+K123+K124+K125+K126+K127+K128+K129+K130+K131</f>
        <v>23802.652279999998</v>
      </c>
      <c r="J115" s="11" t="s">
        <v>133</v>
      </c>
      <c r="K115" s="13">
        <f>921215.13/1000</f>
        <v>921.21513000000004</v>
      </c>
      <c r="L115" s="1"/>
    </row>
    <row r="116" spans="1:12" s="20" customFormat="1" ht="45" x14ac:dyDescent="0.25">
      <c r="A116" s="1"/>
      <c r="B116" s="113"/>
      <c r="C116" s="114"/>
      <c r="D116" s="129"/>
      <c r="E116" s="101"/>
      <c r="F116" s="101"/>
      <c r="G116" s="101"/>
      <c r="H116" s="101"/>
      <c r="I116" s="101"/>
      <c r="J116" s="17" t="s">
        <v>134</v>
      </c>
      <c r="K116" s="19">
        <f>439794.83/1000</f>
        <v>439.79482999999999</v>
      </c>
      <c r="L116" s="1"/>
    </row>
    <row r="117" spans="1:12" s="20" customFormat="1" ht="45" x14ac:dyDescent="0.25">
      <c r="A117" s="1"/>
      <c r="B117" s="113"/>
      <c r="C117" s="114"/>
      <c r="D117" s="129"/>
      <c r="E117" s="101"/>
      <c r="F117" s="101"/>
      <c r="G117" s="101"/>
      <c r="H117" s="101"/>
      <c r="I117" s="101"/>
      <c r="J117" s="17" t="s">
        <v>135</v>
      </c>
      <c r="K117" s="19">
        <f>137961.28/1000</f>
        <v>137.96127999999999</v>
      </c>
      <c r="L117" s="1"/>
    </row>
    <row r="118" spans="1:12" s="20" customFormat="1" ht="45" x14ac:dyDescent="0.25">
      <c r="A118" s="1"/>
      <c r="B118" s="113"/>
      <c r="C118" s="114"/>
      <c r="D118" s="129"/>
      <c r="E118" s="101"/>
      <c r="F118" s="101"/>
      <c r="G118" s="101"/>
      <c r="H118" s="101"/>
      <c r="I118" s="101"/>
      <c r="J118" s="17" t="s">
        <v>136</v>
      </c>
      <c r="K118" s="19">
        <f>5977042.97/1000</f>
        <v>5977.0429699999995</v>
      </c>
      <c r="L118" s="1"/>
    </row>
    <row r="119" spans="1:12" s="20" customFormat="1" ht="45" x14ac:dyDescent="0.25">
      <c r="A119" s="1"/>
      <c r="B119" s="113"/>
      <c r="C119" s="114"/>
      <c r="D119" s="129"/>
      <c r="E119" s="101"/>
      <c r="F119" s="101"/>
      <c r="G119" s="101"/>
      <c r="H119" s="101"/>
      <c r="I119" s="101"/>
      <c r="J119" s="17" t="s">
        <v>137</v>
      </c>
      <c r="K119" s="19">
        <f>2442744.57/1000</f>
        <v>2442.7445699999998</v>
      </c>
      <c r="L119" s="1"/>
    </row>
    <row r="120" spans="1:12" s="20" customFormat="1" ht="45" customHeight="1" x14ac:dyDescent="0.25">
      <c r="A120" s="1"/>
      <c r="B120" s="113"/>
      <c r="C120" s="114"/>
      <c r="D120" s="129"/>
      <c r="E120" s="101"/>
      <c r="F120" s="101"/>
      <c r="G120" s="101"/>
      <c r="H120" s="101"/>
      <c r="I120" s="101"/>
      <c r="J120" s="17" t="s">
        <v>138</v>
      </c>
      <c r="K120" s="19">
        <f>98541.13/1000</f>
        <v>98.54113000000001</v>
      </c>
      <c r="L120" s="1"/>
    </row>
    <row r="121" spans="1:12" s="20" customFormat="1" ht="45" customHeight="1" x14ac:dyDescent="0.25">
      <c r="A121" s="1"/>
      <c r="B121" s="113"/>
      <c r="C121" s="114"/>
      <c r="D121" s="129"/>
      <c r="E121" s="101"/>
      <c r="F121" s="101"/>
      <c r="G121" s="101"/>
      <c r="H121" s="101"/>
      <c r="I121" s="101"/>
      <c r="J121" s="17" t="s">
        <v>139</v>
      </c>
      <c r="K121" s="19">
        <f>182238.94/1000</f>
        <v>182.23894000000001</v>
      </c>
      <c r="L121" s="1"/>
    </row>
    <row r="122" spans="1:12" s="20" customFormat="1" ht="45" customHeight="1" x14ac:dyDescent="0.25">
      <c r="A122" s="1"/>
      <c r="B122" s="113"/>
      <c r="C122" s="114"/>
      <c r="D122" s="129"/>
      <c r="E122" s="101"/>
      <c r="F122" s="101"/>
      <c r="G122" s="101"/>
      <c r="H122" s="101"/>
      <c r="I122" s="101"/>
      <c r="J122" s="17" t="s">
        <v>140</v>
      </c>
      <c r="K122" s="19">
        <f>1137085.12/1000</f>
        <v>1137.0851200000002</v>
      </c>
      <c r="L122" s="1"/>
    </row>
    <row r="123" spans="1:12" s="20" customFormat="1" ht="45" customHeight="1" x14ac:dyDescent="0.25">
      <c r="A123" s="1"/>
      <c r="B123" s="113"/>
      <c r="C123" s="114"/>
      <c r="D123" s="129"/>
      <c r="E123" s="101"/>
      <c r="F123" s="101"/>
      <c r="G123" s="101"/>
      <c r="H123" s="101"/>
      <c r="I123" s="101"/>
      <c r="J123" s="17" t="s">
        <v>141</v>
      </c>
      <c r="K123" s="19">
        <f>412490.31/1000</f>
        <v>412.49031000000002</v>
      </c>
      <c r="L123" s="1"/>
    </row>
    <row r="124" spans="1:12" s="20" customFormat="1" ht="46.5" customHeight="1" x14ac:dyDescent="0.25">
      <c r="A124" s="1"/>
      <c r="B124" s="113"/>
      <c r="C124" s="114"/>
      <c r="D124" s="129"/>
      <c r="E124" s="101"/>
      <c r="F124" s="101"/>
      <c r="G124" s="101"/>
      <c r="H124" s="101"/>
      <c r="I124" s="101"/>
      <c r="J124" s="17" t="s">
        <v>142</v>
      </c>
      <c r="K124" s="19">
        <f>901561.57/1000</f>
        <v>901.56156999999996</v>
      </c>
      <c r="L124" s="1"/>
    </row>
    <row r="125" spans="1:12" s="20" customFormat="1" ht="45" customHeight="1" x14ac:dyDescent="0.25">
      <c r="A125" s="1"/>
      <c r="B125" s="113"/>
      <c r="C125" s="114"/>
      <c r="D125" s="129"/>
      <c r="E125" s="101"/>
      <c r="F125" s="101"/>
      <c r="G125" s="101"/>
      <c r="H125" s="101"/>
      <c r="I125" s="101"/>
      <c r="J125" s="17" t="s">
        <v>143</v>
      </c>
      <c r="K125" s="19">
        <f>945771/1000</f>
        <v>945.77099999999996</v>
      </c>
      <c r="L125" s="1"/>
    </row>
    <row r="126" spans="1:12" s="20" customFormat="1" ht="45" customHeight="1" x14ac:dyDescent="0.25">
      <c r="A126" s="1"/>
      <c r="B126" s="113"/>
      <c r="C126" s="114"/>
      <c r="D126" s="129"/>
      <c r="E126" s="101"/>
      <c r="F126" s="101"/>
      <c r="G126" s="101"/>
      <c r="H126" s="101"/>
      <c r="I126" s="101"/>
      <c r="J126" s="17" t="s">
        <v>144</v>
      </c>
      <c r="K126" s="19">
        <f>6718846.78/1000</f>
        <v>6718.8467799999999</v>
      </c>
      <c r="L126" s="1"/>
    </row>
    <row r="127" spans="1:12" s="20" customFormat="1" ht="45" customHeight="1" x14ac:dyDescent="0.25">
      <c r="A127" s="1"/>
      <c r="B127" s="113"/>
      <c r="C127" s="114"/>
      <c r="D127" s="129"/>
      <c r="E127" s="101"/>
      <c r="F127" s="101"/>
      <c r="G127" s="101"/>
      <c r="H127" s="101"/>
      <c r="I127" s="101"/>
      <c r="J127" s="17" t="s">
        <v>145</v>
      </c>
      <c r="K127" s="19">
        <f>477335.85/1000</f>
        <v>477.33584999999999</v>
      </c>
      <c r="L127" s="1"/>
    </row>
    <row r="128" spans="1:12" s="20" customFormat="1" ht="45" customHeight="1" x14ac:dyDescent="0.25">
      <c r="A128" s="1"/>
      <c r="B128" s="113"/>
      <c r="C128" s="114"/>
      <c r="D128" s="129"/>
      <c r="E128" s="101"/>
      <c r="F128" s="101"/>
      <c r="G128" s="101"/>
      <c r="H128" s="101"/>
      <c r="I128" s="101"/>
      <c r="J128" s="17" t="s">
        <v>146</v>
      </c>
      <c r="K128" s="19">
        <f>1562647.59/1000</f>
        <v>1562.64759</v>
      </c>
      <c r="L128" s="1"/>
    </row>
    <row r="129" spans="1:12" s="20" customFormat="1" ht="45" customHeight="1" x14ac:dyDescent="0.25">
      <c r="A129" s="1"/>
      <c r="B129" s="113"/>
      <c r="C129" s="114"/>
      <c r="D129" s="129"/>
      <c r="E129" s="101"/>
      <c r="F129" s="101"/>
      <c r="G129" s="101"/>
      <c r="H129" s="101"/>
      <c r="I129" s="101"/>
      <c r="J129" s="17" t="s">
        <v>147</v>
      </c>
      <c r="K129" s="19">
        <f>1192058.89/1000</f>
        <v>1192.0588899999998</v>
      </c>
      <c r="L129" s="1"/>
    </row>
    <row r="130" spans="1:12" s="20" customFormat="1" ht="45" customHeight="1" x14ac:dyDescent="0.25">
      <c r="A130" s="1"/>
      <c r="B130" s="113"/>
      <c r="C130" s="114"/>
      <c r="D130" s="129"/>
      <c r="E130" s="101"/>
      <c r="F130" s="101"/>
      <c r="G130" s="101"/>
      <c r="H130" s="101"/>
      <c r="I130" s="101"/>
      <c r="J130" s="17" t="s">
        <v>148</v>
      </c>
      <c r="K130" s="19">
        <f>197507.94/1000</f>
        <v>197.50793999999999</v>
      </c>
      <c r="L130" s="1"/>
    </row>
    <row r="131" spans="1:12" s="20" customFormat="1" ht="45" customHeight="1" x14ac:dyDescent="0.25">
      <c r="A131" s="1"/>
      <c r="B131" s="113"/>
      <c r="C131" s="114"/>
      <c r="D131" s="129"/>
      <c r="E131" s="101"/>
      <c r="F131" s="101"/>
      <c r="G131" s="102"/>
      <c r="H131" s="102"/>
      <c r="I131" s="101"/>
      <c r="J131" s="17" t="s">
        <v>149</v>
      </c>
      <c r="K131" s="19">
        <f>57808.38/1000</f>
        <v>57.80838</v>
      </c>
      <c r="L131" s="1"/>
    </row>
    <row r="132" spans="1:12" s="20" customFormat="1" ht="30" x14ac:dyDescent="0.25">
      <c r="A132" s="1"/>
      <c r="B132" s="113"/>
      <c r="C132" s="21" t="s">
        <v>19</v>
      </c>
      <c r="D132" s="28" t="s">
        <v>20</v>
      </c>
      <c r="E132" s="46" t="s">
        <v>21</v>
      </c>
      <c r="F132" s="46">
        <f>H132</f>
        <v>500</v>
      </c>
      <c r="G132" s="14" t="s">
        <v>150</v>
      </c>
      <c r="H132" s="17">
        <f>500000/1000</f>
        <v>500</v>
      </c>
      <c r="I132" s="23">
        <f>K132</f>
        <v>0</v>
      </c>
      <c r="J132" s="17" t="s">
        <v>18</v>
      </c>
      <c r="K132" s="19">
        <v>0</v>
      </c>
      <c r="L132" s="1"/>
    </row>
    <row r="133" spans="1:12" s="20" customFormat="1" ht="45" x14ac:dyDescent="0.25">
      <c r="A133" s="1"/>
      <c r="B133" s="113"/>
      <c r="C133" s="70" t="s">
        <v>151</v>
      </c>
      <c r="D133" s="23" t="s">
        <v>152</v>
      </c>
      <c r="E133" s="23" t="s">
        <v>18</v>
      </c>
      <c r="F133" s="23">
        <f>H133</f>
        <v>5.8650000000000002</v>
      </c>
      <c r="G133" s="23" t="s">
        <v>153</v>
      </c>
      <c r="H133" s="23">
        <f>5865/1000</f>
        <v>5.8650000000000002</v>
      </c>
      <c r="I133" s="63">
        <f>K133</f>
        <v>5.8650000000000002</v>
      </c>
      <c r="J133" s="63" t="s">
        <v>154</v>
      </c>
      <c r="K133" s="27">
        <f>5865/1000</f>
        <v>5.8650000000000002</v>
      </c>
      <c r="L133" s="1"/>
    </row>
    <row r="134" spans="1:12" s="20" customFormat="1" ht="48.75" customHeight="1" x14ac:dyDescent="0.25">
      <c r="A134" s="1"/>
      <c r="B134" s="113"/>
      <c r="C134" s="118" t="s">
        <v>155</v>
      </c>
      <c r="D134" s="119"/>
      <c r="E134" s="17" t="s">
        <v>18</v>
      </c>
      <c r="F134" s="23" t="str">
        <f t="shared" ref="F134:F150" si="10">H134</f>
        <v>__</v>
      </c>
      <c r="G134" s="17" t="s">
        <v>18</v>
      </c>
      <c r="H134" s="17" t="s">
        <v>18</v>
      </c>
      <c r="I134" s="23">
        <f t="shared" ref="I134:I150" si="11">K134</f>
        <v>20372.3492214</v>
      </c>
      <c r="J134" s="17" t="s">
        <v>18</v>
      </c>
      <c r="K134" s="19">
        <f>20372349.2214/1000</f>
        <v>20372.3492214</v>
      </c>
      <c r="L134" s="1"/>
    </row>
    <row r="135" spans="1:12" s="20" customFormat="1" ht="30.75" customHeight="1" x14ac:dyDescent="0.25">
      <c r="A135" s="1"/>
      <c r="B135" s="113"/>
      <c r="C135" s="109" t="s">
        <v>25</v>
      </c>
      <c r="D135" s="110"/>
      <c r="E135" s="14" t="s">
        <v>18</v>
      </c>
      <c r="F135" s="17">
        <f t="shared" si="10"/>
        <v>177.144667218552</v>
      </c>
      <c r="G135" s="14" t="s">
        <v>18</v>
      </c>
      <c r="H135" s="17">
        <f>177144.667218552/1000</f>
        <v>177.144667218552</v>
      </c>
      <c r="I135" s="17">
        <f t="shared" si="11"/>
        <v>222.92658</v>
      </c>
      <c r="J135" s="14" t="s">
        <v>18</v>
      </c>
      <c r="K135" s="19">
        <f>222926.58/1000</f>
        <v>222.92658</v>
      </c>
      <c r="L135" s="1"/>
    </row>
    <row r="136" spans="1:12" s="20" customFormat="1" ht="29.25" customHeight="1" x14ac:dyDescent="0.25">
      <c r="A136" s="1"/>
      <c r="B136" s="113"/>
      <c r="C136" s="124" t="s">
        <v>26</v>
      </c>
      <c r="D136" s="115"/>
      <c r="E136" s="28" t="s">
        <v>18</v>
      </c>
      <c r="F136" s="23">
        <f t="shared" si="10"/>
        <v>240.708819091061</v>
      </c>
      <c r="G136" s="21" t="s">
        <v>18</v>
      </c>
      <c r="H136" s="23">
        <f>240708.819091061/1000</f>
        <v>240.708819091061</v>
      </c>
      <c r="I136" s="23">
        <f t="shared" si="11"/>
        <v>233.28882999999999</v>
      </c>
      <c r="J136" s="21" t="s">
        <v>18</v>
      </c>
      <c r="K136" s="27">
        <f>233288.83/1000</f>
        <v>233.28882999999999</v>
      </c>
      <c r="L136" s="1"/>
    </row>
    <row r="137" spans="1:12" s="20" customFormat="1" ht="29.25" customHeight="1" x14ac:dyDescent="0.25">
      <c r="A137" s="1"/>
      <c r="B137" s="113"/>
      <c r="C137" s="124" t="s">
        <v>27</v>
      </c>
      <c r="D137" s="115"/>
      <c r="E137" s="28" t="s">
        <v>18</v>
      </c>
      <c r="F137" s="46">
        <f t="shared" si="10"/>
        <v>204.55814210750501</v>
      </c>
      <c r="G137" s="28" t="s">
        <v>18</v>
      </c>
      <c r="H137" s="46">
        <f>204558.142107505/1000</f>
        <v>204.55814210750501</v>
      </c>
      <c r="I137" s="46">
        <f t="shared" si="11"/>
        <v>191.30392999999998</v>
      </c>
      <c r="J137" s="28" t="s">
        <v>18</v>
      </c>
      <c r="K137" s="61">
        <f>191303.93/1000</f>
        <v>191.30392999999998</v>
      </c>
      <c r="L137" s="1"/>
    </row>
    <row r="138" spans="1:12" s="20" customFormat="1" ht="30.75" customHeight="1" x14ac:dyDescent="0.25">
      <c r="A138" s="1"/>
      <c r="B138" s="113"/>
      <c r="C138" s="124" t="s">
        <v>28</v>
      </c>
      <c r="D138" s="115"/>
      <c r="E138" s="28" t="s">
        <v>18</v>
      </c>
      <c r="F138" s="46">
        <f t="shared" si="10"/>
        <v>181.840021809576</v>
      </c>
      <c r="G138" s="28" t="s">
        <v>18</v>
      </c>
      <c r="H138" s="46">
        <f>181840.021809576/1000</f>
        <v>181.840021809576</v>
      </c>
      <c r="I138" s="46">
        <f t="shared" si="11"/>
        <v>152.72726999999998</v>
      </c>
      <c r="J138" s="28" t="s">
        <v>18</v>
      </c>
      <c r="K138" s="61">
        <f>152727.27/1000</f>
        <v>152.72726999999998</v>
      </c>
      <c r="L138" s="1"/>
    </row>
    <row r="139" spans="1:12" s="20" customFormat="1" ht="30" customHeight="1" x14ac:dyDescent="0.25">
      <c r="A139" s="1"/>
      <c r="B139" s="113"/>
      <c r="C139" s="124" t="s">
        <v>29</v>
      </c>
      <c r="D139" s="115"/>
      <c r="E139" s="28" t="s">
        <v>18</v>
      </c>
      <c r="F139" s="46">
        <f t="shared" si="10"/>
        <v>159.681469207155</v>
      </c>
      <c r="G139" s="28" t="s">
        <v>18</v>
      </c>
      <c r="H139" s="46">
        <f>159681.469207155/1000</f>
        <v>159.681469207155</v>
      </c>
      <c r="I139" s="46">
        <f t="shared" si="11"/>
        <v>179.54555999999999</v>
      </c>
      <c r="J139" s="28" t="s">
        <v>18</v>
      </c>
      <c r="K139" s="61">
        <f>179545.56/1000</f>
        <v>179.54555999999999</v>
      </c>
      <c r="L139" s="1"/>
    </row>
    <row r="140" spans="1:12" s="20" customFormat="1" ht="30" customHeight="1" thickBot="1" x14ac:dyDescent="0.3">
      <c r="A140" s="1"/>
      <c r="B140" s="126"/>
      <c r="C140" s="130" t="s">
        <v>30</v>
      </c>
      <c r="D140" s="131"/>
      <c r="E140" s="29" t="s">
        <v>18</v>
      </c>
      <c r="F140" s="30">
        <f t="shared" si="10"/>
        <v>159.46858736606998</v>
      </c>
      <c r="G140" s="29" t="s">
        <v>18</v>
      </c>
      <c r="H140" s="30">
        <f>159468.58736607/1000</f>
        <v>159.46858736606998</v>
      </c>
      <c r="I140" s="30">
        <f t="shared" si="11"/>
        <v>73.040649999999999</v>
      </c>
      <c r="J140" s="29" t="s">
        <v>18</v>
      </c>
      <c r="K140" s="31">
        <f>73040.65/1000</f>
        <v>73.040649999999999</v>
      </c>
      <c r="L140" s="1"/>
    </row>
    <row r="141" spans="1:12" s="20" customFormat="1" ht="45" customHeight="1" x14ac:dyDescent="0.25">
      <c r="A141" s="1"/>
      <c r="B141" s="117" t="s">
        <v>156</v>
      </c>
      <c r="C141" s="14" t="s">
        <v>19</v>
      </c>
      <c r="D141" s="18" t="s">
        <v>20</v>
      </c>
      <c r="E141" s="17" t="s">
        <v>21</v>
      </c>
      <c r="F141" s="17">
        <f t="shared" si="10"/>
        <v>150</v>
      </c>
      <c r="G141" s="14" t="s">
        <v>157</v>
      </c>
      <c r="H141" s="17">
        <f>150000/1000</f>
        <v>150</v>
      </c>
      <c r="I141" s="24">
        <f t="shared" si="11"/>
        <v>0</v>
      </c>
      <c r="J141" s="17" t="s">
        <v>18</v>
      </c>
      <c r="K141" s="19">
        <v>0</v>
      </c>
      <c r="L141" s="1"/>
    </row>
    <row r="142" spans="1:12" s="20" customFormat="1" ht="45" x14ac:dyDescent="0.25">
      <c r="A142" s="1"/>
      <c r="B142" s="117"/>
      <c r="C142" s="21" t="s">
        <v>40</v>
      </c>
      <c r="D142" s="21" t="s">
        <v>41</v>
      </c>
      <c r="E142" s="23" t="s">
        <v>18</v>
      </c>
      <c r="F142" s="23">
        <f t="shared" si="10"/>
        <v>1075.5284994000001</v>
      </c>
      <c r="G142" s="23" t="s">
        <v>50</v>
      </c>
      <c r="H142" s="23">
        <f>1075528.4994/1000</f>
        <v>1075.5284994000001</v>
      </c>
      <c r="I142" s="25">
        <f t="shared" si="11"/>
        <v>1075.5284994000001</v>
      </c>
      <c r="J142" s="23" t="s">
        <v>51</v>
      </c>
      <c r="K142" s="17">
        <f>1075528.4994/1000</f>
        <v>1075.5284994000001</v>
      </c>
      <c r="L142" s="1"/>
    </row>
    <row r="143" spans="1:12" s="20" customFormat="1" ht="31.5" customHeight="1" thickBot="1" x14ac:dyDescent="0.3">
      <c r="A143" s="1"/>
      <c r="B143" s="117"/>
      <c r="C143" s="118" t="s">
        <v>52</v>
      </c>
      <c r="D143" s="119"/>
      <c r="E143" s="21" t="s">
        <v>18</v>
      </c>
      <c r="F143" s="23">
        <f t="shared" si="10"/>
        <v>25.9019339859375</v>
      </c>
      <c r="G143" s="21" t="s">
        <v>18</v>
      </c>
      <c r="H143" s="23">
        <f>25901.9339859375/1000</f>
        <v>25.9019339859375</v>
      </c>
      <c r="I143" s="25">
        <f>K143</f>
        <v>84.607869999999991</v>
      </c>
      <c r="J143" s="21" t="s">
        <v>18</v>
      </c>
      <c r="K143" s="34">
        <f>84607.87/1000</f>
        <v>84.607869999999991</v>
      </c>
      <c r="L143" s="1"/>
    </row>
    <row r="144" spans="1:12" s="20" customFormat="1" ht="48" customHeight="1" x14ac:dyDescent="0.25">
      <c r="A144" s="1"/>
      <c r="B144" s="120" t="s">
        <v>158</v>
      </c>
      <c r="C144" s="121" t="s">
        <v>27</v>
      </c>
      <c r="D144" s="122"/>
      <c r="E144" s="10" t="s">
        <v>18</v>
      </c>
      <c r="F144" s="11">
        <f t="shared" si="10"/>
        <v>26.941724320040699</v>
      </c>
      <c r="G144" s="10" t="s">
        <v>18</v>
      </c>
      <c r="H144" s="11">
        <f>26941.7243200407/1000</f>
        <v>26.941724320040699</v>
      </c>
      <c r="I144" s="51">
        <f t="shared" si="11"/>
        <v>106.81099</v>
      </c>
      <c r="J144" s="10" t="s">
        <v>18</v>
      </c>
      <c r="K144" s="71">
        <f>106810.99/1000</f>
        <v>106.81099</v>
      </c>
      <c r="L144" s="1"/>
    </row>
    <row r="145" spans="1:12" s="20" customFormat="1" ht="48" customHeight="1" x14ac:dyDescent="0.25">
      <c r="A145" s="1"/>
      <c r="B145" s="117"/>
      <c r="C145" s="118" t="s">
        <v>28</v>
      </c>
      <c r="D145" s="119"/>
      <c r="E145" s="21" t="s">
        <v>18</v>
      </c>
      <c r="F145" s="23">
        <f t="shared" si="10"/>
        <v>107.794776284614</v>
      </c>
      <c r="G145" s="21" t="s">
        <v>18</v>
      </c>
      <c r="H145" s="23">
        <f>107794.776284614/1000</f>
        <v>107.794776284614</v>
      </c>
      <c r="I145" s="25">
        <f t="shared" si="11"/>
        <v>116.15196</v>
      </c>
      <c r="J145" s="21" t="s">
        <v>18</v>
      </c>
      <c r="K145" s="34">
        <f>116151.96/1000</f>
        <v>116.15196</v>
      </c>
      <c r="L145" s="1"/>
    </row>
    <row r="146" spans="1:12" s="20" customFormat="1" ht="38.25" customHeight="1" x14ac:dyDescent="0.25">
      <c r="A146" s="1"/>
      <c r="B146" s="117"/>
      <c r="C146" s="118" t="s">
        <v>29</v>
      </c>
      <c r="D146" s="119"/>
      <c r="E146" s="21" t="s">
        <v>18</v>
      </c>
      <c r="F146" s="23">
        <f t="shared" si="10"/>
        <v>118.30889099195501</v>
      </c>
      <c r="G146" s="21" t="s">
        <v>18</v>
      </c>
      <c r="H146" s="23">
        <f>118308.890991955/1000</f>
        <v>118.30889099195501</v>
      </c>
      <c r="I146" s="25">
        <f>K146</f>
        <v>123.46875999999999</v>
      </c>
      <c r="J146" s="21" t="s">
        <v>18</v>
      </c>
      <c r="K146" s="34">
        <f>123468.76/1000</f>
        <v>123.46875999999999</v>
      </c>
      <c r="L146" s="1"/>
    </row>
    <row r="147" spans="1:12" s="20" customFormat="1" ht="38.25" customHeight="1" thickBot="1" x14ac:dyDescent="0.3">
      <c r="A147" s="1"/>
      <c r="B147" s="117"/>
      <c r="C147" s="118" t="s">
        <v>52</v>
      </c>
      <c r="D147" s="119"/>
      <c r="E147" s="21" t="s">
        <v>18</v>
      </c>
      <c r="F147" s="23">
        <f t="shared" si="10"/>
        <v>115.905316950828</v>
      </c>
      <c r="G147" s="21" t="s">
        <v>18</v>
      </c>
      <c r="H147" s="23">
        <f>115905.316950828/1000</f>
        <v>115.905316950828</v>
      </c>
      <c r="I147" s="25">
        <f>K147</f>
        <v>72.554609999999997</v>
      </c>
      <c r="J147" s="21" t="s">
        <v>18</v>
      </c>
      <c r="K147" s="34">
        <f>72554.61/1000</f>
        <v>72.554609999999997</v>
      </c>
      <c r="L147" s="1"/>
    </row>
    <row r="148" spans="1:12" s="20" customFormat="1" ht="85.5" customHeight="1" thickBot="1" x14ac:dyDescent="0.3">
      <c r="A148" s="1"/>
      <c r="B148" s="72" t="s">
        <v>159</v>
      </c>
      <c r="C148" s="111" t="s">
        <v>30</v>
      </c>
      <c r="D148" s="112"/>
      <c r="E148" s="73" t="s">
        <v>18</v>
      </c>
      <c r="F148" s="74">
        <f t="shared" si="10"/>
        <v>25.407730000000001</v>
      </c>
      <c r="G148" s="73" t="s">
        <v>18</v>
      </c>
      <c r="H148" s="74">
        <f>25407.73/1000</f>
        <v>25.407730000000001</v>
      </c>
      <c r="I148" s="75">
        <f t="shared" ref="I148:I149" si="12">K148</f>
        <v>81.256240000000005</v>
      </c>
      <c r="J148" s="73" t="s">
        <v>18</v>
      </c>
      <c r="K148" s="76">
        <f>81256.24/1000</f>
        <v>81.256240000000005</v>
      </c>
      <c r="L148" s="1"/>
    </row>
    <row r="149" spans="1:12" s="20" customFormat="1" ht="85.5" customHeight="1" thickBot="1" x14ac:dyDescent="0.3">
      <c r="A149" s="1"/>
      <c r="B149" s="72" t="s">
        <v>160</v>
      </c>
      <c r="C149" s="111" t="s">
        <v>30</v>
      </c>
      <c r="D149" s="112"/>
      <c r="E149" s="73" t="s">
        <v>18</v>
      </c>
      <c r="F149" s="74">
        <f t="shared" si="10"/>
        <v>22.811181338512402</v>
      </c>
      <c r="G149" s="73" t="s">
        <v>18</v>
      </c>
      <c r="H149" s="74">
        <f>22811.1813385124/1000</f>
        <v>22.811181338512402</v>
      </c>
      <c r="I149" s="75">
        <f t="shared" si="12"/>
        <v>74.06129</v>
      </c>
      <c r="J149" s="73" t="s">
        <v>18</v>
      </c>
      <c r="K149" s="76">
        <v>74.06129</v>
      </c>
      <c r="L149" s="1"/>
    </row>
    <row r="150" spans="1:12" s="20" customFormat="1" ht="45" customHeight="1" x14ac:dyDescent="0.25">
      <c r="A150" s="1"/>
      <c r="B150" s="113" t="s">
        <v>161</v>
      </c>
      <c r="C150" s="14" t="s">
        <v>19</v>
      </c>
      <c r="D150" s="18" t="s">
        <v>20</v>
      </c>
      <c r="E150" s="17" t="s">
        <v>21</v>
      </c>
      <c r="F150" s="17">
        <f t="shared" si="10"/>
        <v>300</v>
      </c>
      <c r="G150" s="14" t="s">
        <v>162</v>
      </c>
      <c r="H150" s="17">
        <f>300000/1000</f>
        <v>300</v>
      </c>
      <c r="I150" s="24">
        <f t="shared" si="11"/>
        <v>0</v>
      </c>
      <c r="J150" s="17" t="s">
        <v>18</v>
      </c>
      <c r="K150" s="19">
        <v>0</v>
      </c>
      <c r="L150" s="1"/>
    </row>
    <row r="151" spans="1:12" s="20" customFormat="1" ht="30" x14ac:dyDescent="0.25">
      <c r="A151" s="1"/>
      <c r="B151" s="113"/>
      <c r="C151" s="114" t="s">
        <v>55</v>
      </c>
      <c r="D151" s="115" t="s">
        <v>163</v>
      </c>
      <c r="E151" s="100">
        <f>13044711.21/1000</f>
        <v>13044.711210000001</v>
      </c>
      <c r="F151" s="100">
        <f>H151+H152+H153+H154+H155</f>
        <v>9768.7071800000012</v>
      </c>
      <c r="G151" s="21" t="s">
        <v>164</v>
      </c>
      <c r="H151" s="23">
        <f>329862.89/1000</f>
        <v>329.86288999999999</v>
      </c>
      <c r="I151" s="100">
        <f>K151+K153+K154</f>
        <v>0</v>
      </c>
      <c r="J151" s="103" t="s">
        <v>18</v>
      </c>
      <c r="K151" s="106">
        <v>0</v>
      </c>
      <c r="L151" s="1"/>
    </row>
    <row r="152" spans="1:12" s="20" customFormat="1" ht="30" x14ac:dyDescent="0.25">
      <c r="A152" s="1"/>
      <c r="B152" s="113"/>
      <c r="C152" s="114"/>
      <c r="D152" s="110"/>
      <c r="E152" s="101"/>
      <c r="F152" s="101"/>
      <c r="G152" s="14" t="s">
        <v>165</v>
      </c>
      <c r="H152" s="17">
        <f>4059322.16/1000</f>
        <v>4059.3221600000002</v>
      </c>
      <c r="I152" s="101"/>
      <c r="J152" s="104"/>
      <c r="K152" s="107"/>
      <c r="L152" s="1"/>
    </row>
    <row r="153" spans="1:12" ht="30" x14ac:dyDescent="0.25">
      <c r="B153" s="113"/>
      <c r="C153" s="114"/>
      <c r="D153" s="110"/>
      <c r="E153" s="101"/>
      <c r="F153" s="101"/>
      <c r="G153" s="14" t="s">
        <v>166</v>
      </c>
      <c r="H153" s="17">
        <f>1127100.98/1000</f>
        <v>1127.1009799999999</v>
      </c>
      <c r="I153" s="101"/>
      <c r="J153" s="104"/>
      <c r="K153" s="107"/>
    </row>
    <row r="154" spans="1:12" ht="30" x14ac:dyDescent="0.25">
      <c r="B154" s="113"/>
      <c r="C154" s="114"/>
      <c r="D154" s="110"/>
      <c r="E154" s="101"/>
      <c r="F154" s="101"/>
      <c r="G154" s="14" t="s">
        <v>167</v>
      </c>
      <c r="H154" s="17">
        <f>1590556.58/1000</f>
        <v>1590.5565800000002</v>
      </c>
      <c r="I154" s="101"/>
      <c r="J154" s="104"/>
      <c r="K154" s="107"/>
    </row>
    <row r="155" spans="1:12" ht="30" x14ac:dyDescent="0.25">
      <c r="B155" s="113"/>
      <c r="C155" s="114"/>
      <c r="D155" s="116"/>
      <c r="E155" s="102"/>
      <c r="F155" s="102"/>
      <c r="G155" s="14" t="s">
        <v>168</v>
      </c>
      <c r="H155" s="17">
        <f>2661864.57/1000</f>
        <v>2661.8645699999997</v>
      </c>
      <c r="I155" s="102"/>
      <c r="J155" s="105"/>
      <c r="K155" s="108"/>
    </row>
    <row r="156" spans="1:12" ht="32.25" customHeight="1" thickBot="1" x14ac:dyDescent="0.3">
      <c r="B156" s="113"/>
      <c r="C156" s="109" t="s">
        <v>25</v>
      </c>
      <c r="D156" s="110"/>
      <c r="E156" s="77" t="s">
        <v>18</v>
      </c>
      <c r="F156" s="16">
        <f t="shared" ref="F156" si="13">H156</f>
        <v>144.03385832828801</v>
      </c>
      <c r="G156" s="77" t="s">
        <v>18</v>
      </c>
      <c r="H156" s="16">
        <f>144033.858328288/1000</f>
        <v>144.03385832828801</v>
      </c>
      <c r="I156" s="16">
        <f>K156</f>
        <v>0</v>
      </c>
      <c r="J156" s="77" t="s">
        <v>18</v>
      </c>
      <c r="K156" s="78">
        <v>0</v>
      </c>
    </row>
    <row r="157" spans="1:12" s="20" customFormat="1" ht="45" customHeight="1" thickBot="1" x14ac:dyDescent="0.3">
      <c r="A157" s="1"/>
      <c r="B157" s="79" t="s">
        <v>169</v>
      </c>
      <c r="C157" s="73" t="s">
        <v>170</v>
      </c>
      <c r="D157" s="73" t="s">
        <v>171</v>
      </c>
      <c r="E157" s="74">
        <v>258</v>
      </c>
      <c r="F157" s="74">
        <f>H157</f>
        <v>258</v>
      </c>
      <c r="G157" s="74" t="s">
        <v>172</v>
      </c>
      <c r="H157" s="74">
        <f>258000/1000</f>
        <v>258</v>
      </c>
      <c r="I157" s="74">
        <f>K157</f>
        <v>258</v>
      </c>
      <c r="J157" s="74" t="s">
        <v>173</v>
      </c>
      <c r="K157" s="80">
        <f>258000/1000</f>
        <v>258</v>
      </c>
      <c r="L157" s="1"/>
    </row>
    <row r="158" spans="1:12" s="20" customFormat="1" ht="48" customHeight="1" thickBot="1" x14ac:dyDescent="0.3">
      <c r="A158" s="1"/>
      <c r="B158" s="81" t="s">
        <v>174</v>
      </c>
      <c r="C158" s="21" t="s">
        <v>175</v>
      </c>
      <c r="D158" s="18" t="s">
        <v>176</v>
      </c>
      <c r="E158" s="17">
        <f>155000/1000</f>
        <v>155</v>
      </c>
      <c r="F158" s="23">
        <f>H158</f>
        <v>155</v>
      </c>
      <c r="G158" s="23" t="s">
        <v>177</v>
      </c>
      <c r="H158" s="17">
        <f>155000/1000</f>
        <v>155</v>
      </c>
      <c r="I158" s="25">
        <f>K158</f>
        <v>155</v>
      </c>
      <c r="J158" s="17" t="s">
        <v>178</v>
      </c>
      <c r="K158" s="19">
        <f>155000/1000</f>
        <v>155</v>
      </c>
      <c r="L158" s="1"/>
    </row>
    <row r="159" spans="1:12" s="20" customFormat="1" ht="16.5" customHeight="1" thickBot="1" x14ac:dyDescent="0.3">
      <c r="A159" s="1"/>
      <c r="B159" s="82" t="s">
        <v>202</v>
      </c>
      <c r="C159" s="82"/>
      <c r="D159" s="82"/>
      <c r="E159" s="82"/>
      <c r="F159" s="83">
        <f>SUM(F56:F158)</f>
        <v>72530.323645626529</v>
      </c>
      <c r="G159" s="84"/>
      <c r="H159" s="83">
        <f>SUM(H56:H158)</f>
        <v>72530.323645626544</v>
      </c>
      <c r="I159" s="83">
        <f>SUM(I56:I158)</f>
        <v>60245.051286400012</v>
      </c>
      <c r="J159" s="84"/>
      <c r="K159" s="83">
        <f>SUM(K56:K158)</f>
        <v>60245.051286400019</v>
      </c>
      <c r="L159" s="1"/>
    </row>
    <row r="160" spans="1:12" s="20" customFormat="1" ht="32.25" thickBot="1" x14ac:dyDescent="0.3">
      <c r="A160" s="1"/>
      <c r="B160" s="82" t="s">
        <v>203</v>
      </c>
      <c r="C160" s="82"/>
      <c r="D160" s="82"/>
      <c r="E160" s="82"/>
      <c r="F160" s="83">
        <f>F54+F159</f>
        <v>79500.284760396622</v>
      </c>
      <c r="G160" s="84"/>
      <c r="H160" s="83">
        <f>H54+H159</f>
        <v>79500.284760396637</v>
      </c>
      <c r="I160" s="83">
        <f>I54+I159</f>
        <v>62541.124508400011</v>
      </c>
      <c r="J160" s="84"/>
      <c r="K160" s="83">
        <f>K54+K159</f>
        <v>62541.124508400018</v>
      </c>
      <c r="L160" s="1"/>
    </row>
    <row r="161" spans="1:12" s="20" customForma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3" spans="1:12" x14ac:dyDescent="0.25">
      <c r="F163" s="85"/>
      <c r="I163" s="85"/>
      <c r="K163" s="85"/>
    </row>
    <row r="164" spans="1:12" ht="15.75" x14ac:dyDescent="0.25">
      <c r="B164" s="86" t="s">
        <v>180</v>
      </c>
      <c r="C164" s="87"/>
      <c r="D164" s="87"/>
      <c r="F164" s="85"/>
      <c r="I164" s="85"/>
      <c r="K164" s="85"/>
    </row>
    <row r="165" spans="1:12" ht="31.5" customHeight="1" x14ac:dyDescent="0.25">
      <c r="B165" s="139" t="s">
        <v>181</v>
      </c>
      <c r="C165" s="139"/>
      <c r="D165" s="139"/>
    </row>
    <row r="166" spans="1:12" ht="15.75" thickBot="1" x14ac:dyDescent="0.3">
      <c r="B166" s="88"/>
      <c r="C166" s="88"/>
      <c r="D166" s="88"/>
    </row>
    <row r="167" spans="1:12" ht="16.5" thickBot="1" x14ac:dyDescent="0.3">
      <c r="B167" s="89" t="s">
        <v>182</v>
      </c>
      <c r="C167" s="90" t="s">
        <v>183</v>
      </c>
      <c r="D167" s="90" t="s">
        <v>184</v>
      </c>
    </row>
    <row r="168" spans="1:12" ht="61.5" customHeight="1" thickBot="1" x14ac:dyDescent="0.3">
      <c r="B168" s="91" t="s">
        <v>185</v>
      </c>
      <c r="C168" s="92">
        <v>62541.120000000003</v>
      </c>
      <c r="D168" s="92">
        <v>79500.28</v>
      </c>
    </row>
    <row r="169" spans="1:12" ht="30.75" customHeight="1" thickBot="1" x14ac:dyDescent="0.3">
      <c r="B169" s="91" t="s">
        <v>186</v>
      </c>
      <c r="C169" s="92">
        <v>163247.10999999999</v>
      </c>
      <c r="D169" s="92">
        <v>163247.10999999999</v>
      </c>
    </row>
    <row r="170" spans="1:12" ht="15.75" thickBot="1" x14ac:dyDescent="0.3">
      <c r="B170" s="91" t="s">
        <v>187</v>
      </c>
      <c r="C170" s="92">
        <v>101555.64</v>
      </c>
      <c r="D170" s="92">
        <v>101555.64</v>
      </c>
    </row>
    <row r="171" spans="1:12" ht="45.75" thickBot="1" x14ac:dyDescent="0.3">
      <c r="B171" s="91" t="s">
        <v>188</v>
      </c>
      <c r="C171" s="93">
        <v>0</v>
      </c>
      <c r="D171" s="93">
        <v>0</v>
      </c>
    </row>
    <row r="172" spans="1:12" ht="30.75" thickBot="1" x14ac:dyDescent="0.3">
      <c r="B172" s="91" t="s">
        <v>189</v>
      </c>
      <c r="C172" s="92">
        <v>55582.7</v>
      </c>
      <c r="D172" s="92">
        <v>54986.879999999997</v>
      </c>
    </row>
    <row r="173" spans="1:12" ht="15.75" thickBot="1" x14ac:dyDescent="0.3">
      <c r="B173" s="94" t="s">
        <v>190</v>
      </c>
      <c r="C173" s="95">
        <v>4852.54</v>
      </c>
      <c r="D173" s="95">
        <v>3562.57</v>
      </c>
    </row>
    <row r="174" spans="1:12" ht="15.75" thickBot="1" x14ac:dyDescent="0.3">
      <c r="B174" s="94" t="s">
        <v>191</v>
      </c>
      <c r="C174" s="96" t="s">
        <v>192</v>
      </c>
      <c r="D174" s="95">
        <v>50861.84</v>
      </c>
    </row>
    <row r="175" spans="1:12" ht="79.5" customHeight="1" thickBot="1" x14ac:dyDescent="0.3">
      <c r="B175" s="91" t="s">
        <v>193</v>
      </c>
      <c r="C175" s="92">
        <v>182139.85</v>
      </c>
      <c r="D175" s="92">
        <v>176675.66</v>
      </c>
      <c r="I175" s="98"/>
      <c r="J175" s="98"/>
      <c r="K175" s="99"/>
    </row>
    <row r="176" spans="1:12" ht="31.5" customHeight="1" thickBot="1" x14ac:dyDescent="0.3">
      <c r="B176" s="91" t="s">
        <v>194</v>
      </c>
      <c r="C176" s="92">
        <v>19815.240000000002</v>
      </c>
      <c r="D176" s="92">
        <v>17370.349999999999</v>
      </c>
      <c r="I176" s="99"/>
      <c r="J176" s="99"/>
      <c r="K176" s="99"/>
    </row>
    <row r="177" spans="2:4" ht="15.75" thickBot="1" x14ac:dyDescent="0.3">
      <c r="B177" s="91" t="s">
        <v>195</v>
      </c>
      <c r="C177" s="92">
        <v>-19104.330000000002</v>
      </c>
      <c r="D177" s="92">
        <v>-5376.35</v>
      </c>
    </row>
    <row r="178" spans="2:4" ht="30.75" thickBot="1" x14ac:dyDescent="0.3">
      <c r="B178" s="91" t="s">
        <v>196</v>
      </c>
      <c r="C178" s="92">
        <v>8679.7199999999993</v>
      </c>
      <c r="D178" s="92">
        <v>18550.59</v>
      </c>
    </row>
    <row r="179" spans="2:4" ht="15.75" thickBot="1" x14ac:dyDescent="0.3">
      <c r="B179" s="91" t="s">
        <v>197</v>
      </c>
      <c r="C179" s="92">
        <v>27784.05</v>
      </c>
      <c r="D179" s="92">
        <v>23926.94</v>
      </c>
    </row>
    <row r="183" spans="2:4" ht="38.25" customHeight="1" x14ac:dyDescent="0.25">
      <c r="B183" s="97" t="s">
        <v>198</v>
      </c>
      <c r="D183" s="97" t="s">
        <v>199</v>
      </c>
    </row>
    <row r="184" spans="2:4" ht="38.25" customHeight="1" x14ac:dyDescent="0.25">
      <c r="B184" s="97" t="s">
        <v>200</v>
      </c>
      <c r="D184" s="97" t="s">
        <v>201</v>
      </c>
    </row>
  </sheetData>
  <mergeCells count="150">
    <mergeCell ref="B165:D165"/>
    <mergeCell ref="B2:K2"/>
    <mergeCell ref="B3:K3"/>
    <mergeCell ref="B4:K4"/>
    <mergeCell ref="B6:B7"/>
    <mergeCell ref="C6:D6"/>
    <mergeCell ref="E6:E7"/>
    <mergeCell ref="F6:F7"/>
    <mergeCell ref="G6:H6"/>
    <mergeCell ref="I6:I7"/>
    <mergeCell ref="J6:K6"/>
    <mergeCell ref="B18:B23"/>
    <mergeCell ref="C18:D18"/>
    <mergeCell ref="C19:D19"/>
    <mergeCell ref="C20:D20"/>
    <mergeCell ref="C21:D21"/>
    <mergeCell ref="C22:D22"/>
    <mergeCell ref="C23:D23"/>
    <mergeCell ref="B8:K8"/>
    <mergeCell ref="B9:B17"/>
    <mergeCell ref="C12:D12"/>
    <mergeCell ref="C13:D13"/>
    <mergeCell ref="C14:D14"/>
    <mergeCell ref="C15:D15"/>
    <mergeCell ref="B37:B42"/>
    <mergeCell ref="C37:D37"/>
    <mergeCell ref="C38:D38"/>
    <mergeCell ref="C39:D39"/>
    <mergeCell ref="C40:D40"/>
    <mergeCell ref="C41:D41"/>
    <mergeCell ref="C42:D42"/>
    <mergeCell ref="C16:D16"/>
    <mergeCell ref="C17:D17"/>
    <mergeCell ref="B25:B28"/>
    <mergeCell ref="C27:D27"/>
    <mergeCell ref="C28:D28"/>
    <mergeCell ref="B31:B36"/>
    <mergeCell ref="C31:D31"/>
    <mergeCell ref="C32:D32"/>
    <mergeCell ref="C33:D33"/>
    <mergeCell ref="C34:D34"/>
    <mergeCell ref="C35:D35"/>
    <mergeCell ref="C36:D36"/>
    <mergeCell ref="F66:F69"/>
    <mergeCell ref="I66:I69"/>
    <mergeCell ref="C73:C81"/>
    <mergeCell ref="D73:D81"/>
    <mergeCell ref="E73:E81"/>
    <mergeCell ref="F73:F81"/>
    <mergeCell ref="B43:B48"/>
    <mergeCell ref="C43:D43"/>
    <mergeCell ref="C44:D44"/>
    <mergeCell ref="C45:D45"/>
    <mergeCell ref="C46:D46"/>
    <mergeCell ref="C47:D47"/>
    <mergeCell ref="C48:D48"/>
    <mergeCell ref="B49:B51"/>
    <mergeCell ref="C51:D51"/>
    <mergeCell ref="B52:B53"/>
    <mergeCell ref="B56:B99"/>
    <mergeCell ref="C57:C60"/>
    <mergeCell ref="D57:D60"/>
    <mergeCell ref="C66:C69"/>
    <mergeCell ref="D66:D69"/>
    <mergeCell ref="C86:C87"/>
    <mergeCell ref="D86:D87"/>
    <mergeCell ref="I73:I81"/>
    <mergeCell ref="E57:E60"/>
    <mergeCell ref="F57:F60"/>
    <mergeCell ref="I57:I60"/>
    <mergeCell ref="J86:J87"/>
    <mergeCell ref="K86:K87"/>
    <mergeCell ref="C88:D88"/>
    <mergeCell ref="J73:J81"/>
    <mergeCell ref="K73:K81"/>
    <mergeCell ref="C82:C85"/>
    <mergeCell ref="D82:D85"/>
    <mergeCell ref="E82:E85"/>
    <mergeCell ref="F82:F85"/>
    <mergeCell ref="I82:I85"/>
    <mergeCell ref="J82:J85"/>
    <mergeCell ref="K82:K85"/>
    <mergeCell ref="J59:J60"/>
    <mergeCell ref="K59:K60"/>
    <mergeCell ref="C61:C65"/>
    <mergeCell ref="D61:D65"/>
    <mergeCell ref="E61:E65"/>
    <mergeCell ref="F61:F65"/>
    <mergeCell ref="I61:I65"/>
    <mergeCell ref="E66:E69"/>
    <mergeCell ref="C89:D89"/>
    <mergeCell ref="C90:D90"/>
    <mergeCell ref="C91:D91"/>
    <mergeCell ref="C92:D92"/>
    <mergeCell ref="C93:D93"/>
    <mergeCell ref="C94:D94"/>
    <mergeCell ref="E86:E87"/>
    <mergeCell ref="F86:F87"/>
    <mergeCell ref="I86:I87"/>
    <mergeCell ref="C107:D107"/>
    <mergeCell ref="C108:D108"/>
    <mergeCell ref="B109:B114"/>
    <mergeCell ref="C109:D109"/>
    <mergeCell ref="C110:D110"/>
    <mergeCell ref="C111:D111"/>
    <mergeCell ref="C112:D112"/>
    <mergeCell ref="C113:D113"/>
    <mergeCell ref="C95:D95"/>
    <mergeCell ref="C96:D96"/>
    <mergeCell ref="C97:D97"/>
    <mergeCell ref="C98:D98"/>
    <mergeCell ref="C99:D99"/>
    <mergeCell ref="B100:B108"/>
    <mergeCell ref="C103:D103"/>
    <mergeCell ref="C104:D104"/>
    <mergeCell ref="C105:D105"/>
    <mergeCell ref="C106:D106"/>
    <mergeCell ref="B141:B143"/>
    <mergeCell ref="C143:D143"/>
    <mergeCell ref="B144:B147"/>
    <mergeCell ref="C144:D144"/>
    <mergeCell ref="C145:D145"/>
    <mergeCell ref="C146:D146"/>
    <mergeCell ref="C147:D147"/>
    <mergeCell ref="H115:H131"/>
    <mergeCell ref="I115:I131"/>
    <mergeCell ref="C134:D134"/>
    <mergeCell ref="C135:D135"/>
    <mergeCell ref="C136:D136"/>
    <mergeCell ref="C137:D137"/>
    <mergeCell ref="B115:B140"/>
    <mergeCell ref="C115:C131"/>
    <mergeCell ref="D115:D131"/>
    <mergeCell ref="E115:E131"/>
    <mergeCell ref="F115:F131"/>
    <mergeCell ref="G115:G131"/>
    <mergeCell ref="C138:D138"/>
    <mergeCell ref="C139:D139"/>
    <mergeCell ref="C140:D140"/>
    <mergeCell ref="F151:F155"/>
    <mergeCell ref="I151:I155"/>
    <mergeCell ref="J151:J155"/>
    <mergeCell ref="K151:K155"/>
    <mergeCell ref="C156:D156"/>
    <mergeCell ref="C148:D148"/>
    <mergeCell ref="C149:D149"/>
    <mergeCell ref="B150:B156"/>
    <mergeCell ref="C151:C155"/>
    <mergeCell ref="D151:D155"/>
    <mergeCell ref="E151:E155"/>
  </mergeCells>
  <pageMargins left="0.56999999999999995" right="0.45" top="0.32" bottom="0.31" header="0.31496062992125984" footer="0.31496062992125984"/>
  <pageSetup paperSize="9" scale="45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я+ф+м+а+м+и 2016 для админ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2016-07-28T06:47:32Z</dcterms:modified>
</cp:coreProperties>
</file>