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1 полугодие 2018" sheetId="5" r:id="rId1"/>
  </sheets>
  <calcPr calcId="145621"/>
</workbook>
</file>

<file path=xl/calcChain.xml><?xml version="1.0" encoding="utf-8"?>
<calcChain xmlns="http://schemas.openxmlformats.org/spreadsheetml/2006/main">
  <c r="J366" i="5" l="1"/>
  <c r="H366" i="5"/>
  <c r="G366" i="5"/>
  <c r="E366" i="5"/>
  <c r="J364" i="5"/>
  <c r="H363" i="5" s="1"/>
  <c r="J363" i="5"/>
  <c r="G363" i="5"/>
  <c r="E363" i="5"/>
  <c r="J362" i="5"/>
  <c r="H362" i="5"/>
  <c r="G362" i="5"/>
  <c r="J361" i="5"/>
  <c r="E361" i="5"/>
  <c r="G360" i="5"/>
  <c r="E360" i="5" s="1"/>
  <c r="E359" i="5"/>
  <c r="J358" i="5"/>
  <c r="H358" i="5"/>
  <c r="E358" i="5"/>
  <c r="J357" i="5"/>
  <c r="H357" i="5" s="1"/>
  <c r="G357" i="5"/>
  <c r="E357" i="5" s="1"/>
  <c r="J356" i="5"/>
  <c r="H356" i="5" s="1"/>
  <c r="G356" i="5"/>
  <c r="E356" i="5" s="1"/>
  <c r="J355" i="5"/>
  <c r="H355" i="5"/>
  <c r="G355" i="5"/>
  <c r="E355" i="5"/>
  <c r="J354" i="5"/>
  <c r="H354" i="5"/>
  <c r="G354" i="5"/>
  <c r="E354" i="5"/>
  <c r="J353" i="5"/>
  <c r="H353" i="5" s="1"/>
  <c r="J352" i="5"/>
  <c r="H352" i="5" s="1"/>
  <c r="G351" i="5"/>
  <c r="E351" i="5" s="1"/>
  <c r="D351" i="5"/>
  <c r="J350" i="5"/>
  <c r="J349" i="5"/>
  <c r="J348" i="5"/>
  <c r="J347" i="5"/>
  <c r="H347" i="5" s="1"/>
  <c r="J346" i="5"/>
  <c r="H346" i="5" s="1"/>
  <c r="J345" i="5"/>
  <c r="G345" i="5"/>
  <c r="E345" i="5"/>
  <c r="J344" i="5"/>
  <c r="G344" i="5"/>
  <c r="E344" i="5" s="1"/>
  <c r="J343" i="5"/>
  <c r="H343" i="5" s="1"/>
  <c r="G343" i="5"/>
  <c r="E343" i="5" s="1"/>
  <c r="J342" i="5"/>
  <c r="H342" i="5" s="1"/>
  <c r="G342" i="5"/>
  <c r="E342" i="5" s="1"/>
  <c r="J341" i="5"/>
  <c r="H341" i="5" s="1"/>
  <c r="G341" i="5"/>
  <c r="E341" i="5" s="1"/>
  <c r="J340" i="5"/>
  <c r="H340" i="5" s="1"/>
  <c r="G340" i="5"/>
  <c r="E340" i="5" s="1"/>
  <c r="J339" i="5"/>
  <c r="H339" i="5" s="1"/>
  <c r="G339" i="5"/>
  <c r="E339" i="5" s="1"/>
  <c r="J338" i="5"/>
  <c r="H338" i="5"/>
  <c r="G338" i="5"/>
  <c r="G337" i="5"/>
  <c r="J336" i="5"/>
  <c r="H336" i="5" s="1"/>
  <c r="G336" i="5"/>
  <c r="J335" i="5"/>
  <c r="J334" i="5"/>
  <c r="J333" i="5"/>
  <c r="J332" i="5"/>
  <c r="H332" i="5" s="1"/>
  <c r="J331" i="5"/>
  <c r="H331" i="5" s="1"/>
  <c r="G331" i="5"/>
  <c r="E331" i="5" s="1"/>
  <c r="J330" i="5"/>
  <c r="H330" i="5" s="1"/>
  <c r="G330" i="5"/>
  <c r="G329" i="5"/>
  <c r="G328" i="5"/>
  <c r="G327" i="5"/>
  <c r="G326" i="5"/>
  <c r="J325" i="5"/>
  <c r="H325" i="5"/>
  <c r="J324" i="5"/>
  <c r="H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D308" i="5"/>
  <c r="J307" i="5"/>
  <c r="H306" i="5" s="1"/>
  <c r="J306" i="5"/>
  <c r="D306" i="5"/>
  <c r="J305" i="5"/>
  <c r="H305" i="5" s="1"/>
  <c r="J304" i="5"/>
  <c r="H304" i="5" s="1"/>
  <c r="J303" i="5"/>
  <c r="H303" i="5"/>
  <c r="J302" i="5"/>
  <c r="J301" i="5"/>
  <c r="J300" i="5"/>
  <c r="H300" i="5" s="1"/>
  <c r="J299" i="5"/>
  <c r="J298" i="5"/>
  <c r="H298" i="5"/>
  <c r="G298" i="5"/>
  <c r="E298" i="5"/>
  <c r="J297" i="5"/>
  <c r="H297" i="5"/>
  <c r="G297" i="5"/>
  <c r="J296" i="5"/>
  <c r="H296" i="5" s="1"/>
  <c r="G296" i="5"/>
  <c r="E296" i="5" s="1"/>
  <c r="J295" i="5"/>
  <c r="H295" i="5"/>
  <c r="G295" i="5"/>
  <c r="E295" i="5" s="1"/>
  <c r="G294" i="5"/>
  <c r="G293" i="5"/>
  <c r="G292" i="5"/>
  <c r="J291" i="5"/>
  <c r="G291" i="5"/>
  <c r="E290" i="5" s="1"/>
  <c r="J290" i="5"/>
  <c r="H290" i="5"/>
  <c r="J289" i="5"/>
  <c r="H289" i="5" s="1"/>
  <c r="J288" i="5"/>
  <c r="G288" i="5"/>
  <c r="J287" i="5"/>
  <c r="G287" i="5"/>
  <c r="J286" i="5"/>
  <c r="H285" i="5" s="1"/>
  <c r="J285" i="5"/>
  <c r="E285" i="5"/>
  <c r="G284" i="5"/>
  <c r="G283" i="5"/>
  <c r="J282" i="5"/>
  <c r="H282" i="5" s="1"/>
  <c r="G282" i="5"/>
  <c r="G281" i="5"/>
  <c r="G280" i="5"/>
  <c r="J279" i="5"/>
  <c r="H279" i="5"/>
  <c r="G279" i="5"/>
  <c r="J278" i="5"/>
  <c r="H278" i="5" s="1"/>
  <c r="J277" i="5"/>
  <c r="H277" i="5" s="1"/>
  <c r="G277" i="5"/>
  <c r="G276" i="5"/>
  <c r="J275" i="5"/>
  <c r="H274" i="5" s="1"/>
  <c r="J274" i="5"/>
  <c r="J273" i="5"/>
  <c r="G273" i="5"/>
  <c r="G272" i="5"/>
  <c r="G271" i="5"/>
  <c r="G269" i="5"/>
  <c r="G268" i="5"/>
  <c r="E267" i="5"/>
  <c r="E266" i="5"/>
  <c r="G265" i="5"/>
  <c r="G264" i="5"/>
  <c r="J263" i="5"/>
  <c r="H263" i="5"/>
  <c r="G263" i="5"/>
  <c r="E263" i="5"/>
  <c r="G262" i="5"/>
  <c r="E261" i="5"/>
  <c r="G260" i="5"/>
  <c r="E260" i="5"/>
  <c r="G259" i="5"/>
  <c r="E259" i="5"/>
  <c r="G258" i="5"/>
  <c r="J257" i="5"/>
  <c r="H257" i="5" s="1"/>
  <c r="G257" i="5"/>
  <c r="E257" i="5" s="1"/>
  <c r="J256" i="5"/>
  <c r="H256" i="5" s="1"/>
  <c r="G256" i="5"/>
  <c r="E256" i="5" s="1"/>
  <c r="J255" i="5"/>
  <c r="H255" i="5" s="1"/>
  <c r="G255" i="5"/>
  <c r="E255" i="5" s="1"/>
  <c r="J254" i="5"/>
  <c r="G254" i="5"/>
  <c r="J253" i="5"/>
  <c r="G253" i="5"/>
  <c r="J252" i="5"/>
  <c r="G252" i="5"/>
  <c r="J251" i="5"/>
  <c r="J250" i="5"/>
  <c r="J249" i="5"/>
  <c r="J248" i="5"/>
  <c r="G248" i="5"/>
  <c r="J247" i="5"/>
  <c r="G247" i="5"/>
  <c r="E244" i="5" s="1"/>
  <c r="J246" i="5"/>
  <c r="G246" i="5"/>
  <c r="J245" i="5"/>
  <c r="J244" i="5"/>
  <c r="H244" i="5" s="1"/>
  <c r="G243" i="5"/>
  <c r="G242" i="5"/>
  <c r="G241" i="5"/>
  <c r="J240" i="5"/>
  <c r="H240" i="5" s="1"/>
  <c r="G240" i="5"/>
  <c r="E240" i="5" s="1"/>
  <c r="J239" i="5"/>
  <c r="H239" i="5" s="1"/>
  <c r="G239" i="5"/>
  <c r="E239" i="5" s="1"/>
  <c r="J238" i="5"/>
  <c r="H238" i="5" s="1"/>
  <c r="G238" i="5"/>
  <c r="E238" i="5" s="1"/>
  <c r="H237" i="5"/>
  <c r="E237" i="5"/>
  <c r="H236" i="5"/>
  <c r="E236" i="5"/>
  <c r="G235" i="5"/>
  <c r="E235" i="5" s="1"/>
  <c r="J234" i="5"/>
  <c r="H234" i="5" s="1"/>
  <c r="D234" i="5"/>
  <c r="H233" i="5"/>
  <c r="G233" i="5"/>
  <c r="E233" i="5" s="1"/>
  <c r="D233" i="5"/>
  <c r="J232" i="5"/>
  <c r="G232" i="5"/>
  <c r="J231" i="5"/>
  <c r="H231" i="5"/>
  <c r="G231" i="5"/>
  <c r="G230" i="5"/>
  <c r="H229" i="5"/>
  <c r="G229" i="5"/>
  <c r="G228" i="5"/>
  <c r="J227" i="5"/>
  <c r="J226" i="5"/>
  <c r="J225" i="5"/>
  <c r="J223" i="5"/>
  <c r="H223" i="5"/>
  <c r="J222" i="5"/>
  <c r="J221" i="5"/>
  <c r="J220" i="5"/>
  <c r="J219" i="5"/>
  <c r="J218" i="5"/>
  <c r="J217" i="5"/>
  <c r="J216" i="5"/>
  <c r="J215" i="5"/>
  <c r="H215" i="5" s="1"/>
  <c r="J214" i="5"/>
  <c r="J213" i="5"/>
  <c r="J212" i="5"/>
  <c r="J211" i="5"/>
  <c r="J210" i="5"/>
  <c r="J209" i="5"/>
  <c r="J208" i="5"/>
  <c r="H208" i="5" s="1"/>
  <c r="J207" i="5"/>
  <c r="J206" i="5"/>
  <c r="J205" i="5"/>
  <c r="J204" i="5"/>
  <c r="J203" i="5"/>
  <c r="J202" i="5"/>
  <c r="H202" i="5"/>
  <c r="J201" i="5"/>
  <c r="J200" i="5"/>
  <c r="J199" i="5"/>
  <c r="J198" i="5"/>
  <c r="H197" i="5" s="1"/>
  <c r="J197" i="5"/>
  <c r="J195" i="5"/>
  <c r="H195" i="5"/>
  <c r="J194" i="5"/>
  <c r="J193" i="5"/>
  <c r="J192" i="5"/>
  <c r="G192" i="5"/>
  <c r="J191" i="5"/>
  <c r="H191" i="5"/>
  <c r="G191" i="5"/>
  <c r="E191" i="5"/>
  <c r="J190" i="5"/>
  <c r="H190" i="5"/>
  <c r="G190" i="5"/>
  <c r="J189" i="5"/>
  <c r="H189" i="5" s="1"/>
  <c r="G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H153" i="5" s="1"/>
  <c r="J152" i="5"/>
  <c r="J151" i="5"/>
  <c r="J150" i="5"/>
  <c r="J149" i="5"/>
  <c r="J148" i="5"/>
  <c r="J147" i="5"/>
  <c r="J146" i="5"/>
  <c r="H146" i="5" s="1"/>
  <c r="J145" i="5"/>
  <c r="J144" i="5"/>
  <c r="J143" i="5"/>
  <c r="J142" i="5"/>
  <c r="H142" i="5"/>
  <c r="J141" i="5"/>
  <c r="G141" i="5"/>
  <c r="E141" i="5" s="1"/>
  <c r="J140" i="5"/>
  <c r="H140" i="5" s="1"/>
  <c r="G140" i="5"/>
  <c r="E140" i="5" s="1"/>
  <c r="J139" i="5"/>
  <c r="G139" i="5"/>
  <c r="E139" i="5"/>
  <c r="J138" i="5"/>
  <c r="G138" i="5"/>
  <c r="E138" i="5" s="1"/>
  <c r="J137" i="5"/>
  <c r="H137" i="5" s="1"/>
  <c r="G137" i="5"/>
  <c r="E137" i="5" s="1"/>
  <c r="J136" i="5"/>
  <c r="G136" i="5"/>
  <c r="E136" i="5"/>
  <c r="J135" i="5"/>
  <c r="G135" i="5"/>
  <c r="E135" i="5" s="1"/>
  <c r="J134" i="5"/>
  <c r="H134" i="5" s="1"/>
  <c r="G134" i="5"/>
  <c r="G133" i="5"/>
  <c r="H132" i="5"/>
  <c r="J130" i="5"/>
  <c r="H129" i="5"/>
  <c r="E129" i="5"/>
  <c r="E128" i="5"/>
  <c r="H126" i="5"/>
  <c r="J126" i="5" s="1"/>
  <c r="H125" i="5"/>
  <c r="J125" i="5" s="1"/>
  <c r="G125" i="5"/>
  <c r="J124" i="5"/>
  <c r="G124" i="5"/>
  <c r="G123" i="5"/>
  <c r="H122" i="5"/>
  <c r="E122" i="5"/>
  <c r="J121" i="5"/>
  <c r="H121" i="5"/>
  <c r="G121" i="5"/>
  <c r="E121" i="5"/>
  <c r="J120" i="5"/>
  <c r="H120" i="5"/>
  <c r="G120" i="5"/>
  <c r="E120" i="5"/>
  <c r="H119" i="5"/>
  <c r="E119" i="5"/>
  <c r="H118" i="5"/>
  <c r="E118" i="5"/>
  <c r="H117" i="5"/>
  <c r="G117" i="5"/>
  <c r="E117" i="5" s="1"/>
  <c r="G116" i="5"/>
  <c r="E116" i="5" s="1"/>
  <c r="G115" i="5"/>
  <c r="G365" i="5" s="1"/>
  <c r="G367" i="5" s="1"/>
  <c r="G114" i="5"/>
  <c r="E113" i="5"/>
  <c r="E365" i="5" s="1"/>
  <c r="E367" i="5" s="1"/>
  <c r="D113" i="5"/>
  <c r="J110" i="5"/>
  <c r="H110" i="5" s="1"/>
  <c r="G110" i="5"/>
  <c r="E110" i="5" s="1"/>
  <c r="J108" i="5"/>
  <c r="H108" i="5" s="1"/>
  <c r="J107" i="5"/>
  <c r="H107" i="5" s="1"/>
  <c r="J105" i="5"/>
  <c r="H105" i="5" s="1"/>
  <c r="J104" i="5"/>
  <c r="H104" i="5" s="1"/>
  <c r="J103" i="5"/>
  <c r="H103" i="5" s="1"/>
  <c r="G103" i="5"/>
  <c r="J102" i="5"/>
  <c r="H102" i="5"/>
  <c r="G102" i="5"/>
  <c r="E102" i="5"/>
  <c r="J101" i="5"/>
  <c r="J100" i="5"/>
  <c r="J99" i="5"/>
  <c r="G99" i="5"/>
  <c r="E99" i="5" s="1"/>
  <c r="J98" i="5"/>
  <c r="G98" i="5"/>
  <c r="E98" i="5"/>
  <c r="J97" i="5"/>
  <c r="G97" i="5"/>
  <c r="J96" i="5"/>
  <c r="G96" i="5"/>
  <c r="J95" i="5"/>
  <c r="H95" i="5"/>
  <c r="G95" i="5"/>
  <c r="H94" i="5"/>
  <c r="D94" i="5"/>
  <c r="J93" i="5"/>
  <c r="H93" i="5" s="1"/>
  <c r="J92" i="5"/>
  <c r="H92" i="5" s="1"/>
  <c r="J91" i="5"/>
  <c r="G90" i="5"/>
  <c r="E90" i="5"/>
  <c r="G89" i="5"/>
  <c r="E89" i="5"/>
  <c r="D89" i="5"/>
  <c r="G88" i="5"/>
  <c r="E88" i="5" s="1"/>
  <c r="D88" i="5"/>
  <c r="G87" i="5"/>
  <c r="E87" i="5"/>
  <c r="D87" i="5"/>
  <c r="G86" i="5"/>
  <c r="E86" i="5" s="1"/>
  <c r="D86" i="5"/>
  <c r="G85" i="5"/>
  <c r="E85" i="5"/>
  <c r="D85" i="5"/>
  <c r="G84" i="5"/>
  <c r="G83" i="5"/>
  <c r="E83" i="5"/>
  <c r="G82" i="5"/>
  <c r="E82" i="5"/>
  <c r="G81" i="5"/>
  <c r="E81" i="5"/>
  <c r="D81" i="5"/>
  <c r="J80" i="5"/>
  <c r="J79" i="5"/>
  <c r="J78" i="5"/>
  <c r="H70" i="5" s="1"/>
  <c r="J77" i="5"/>
  <c r="G77" i="5"/>
  <c r="J76" i="5"/>
  <c r="G76" i="5"/>
  <c r="J75" i="5"/>
  <c r="G75" i="5"/>
  <c r="J74" i="5"/>
  <c r="G74" i="5"/>
  <c r="J73" i="5"/>
  <c r="G73" i="5"/>
  <c r="J72" i="5"/>
  <c r="G72" i="5"/>
  <c r="E72" i="5" s="1"/>
  <c r="J71" i="5"/>
  <c r="G71" i="5"/>
  <c r="E71" i="5"/>
  <c r="J70" i="5"/>
  <c r="G70" i="5"/>
  <c r="E70" i="5"/>
  <c r="H69" i="5"/>
  <c r="H68" i="5"/>
  <c r="G68" i="5"/>
  <c r="E68" i="5"/>
  <c r="J67" i="5"/>
  <c r="G67" i="5"/>
  <c r="E67" i="5" s="1"/>
  <c r="J66" i="5"/>
  <c r="G66" i="5"/>
  <c r="E66" i="5"/>
  <c r="J65" i="5"/>
  <c r="G65" i="5"/>
  <c r="E65" i="5" s="1"/>
  <c r="J64" i="5"/>
  <c r="G64" i="5"/>
  <c r="E64" i="5"/>
  <c r="J63" i="5"/>
  <c r="G63" i="5"/>
  <c r="E63" i="5" s="1"/>
  <c r="J62" i="5"/>
  <c r="H62" i="5" s="1"/>
  <c r="G62" i="5"/>
  <c r="E62" i="5" s="1"/>
  <c r="J61" i="5"/>
  <c r="J60" i="5"/>
  <c r="J59" i="5"/>
  <c r="J58" i="5"/>
  <c r="J57" i="5"/>
  <c r="G57" i="5"/>
  <c r="E57" i="5"/>
  <c r="J56" i="5"/>
  <c r="H56" i="5"/>
  <c r="G56" i="5"/>
  <c r="E56" i="5"/>
  <c r="D56" i="5"/>
  <c r="G55" i="5"/>
  <c r="E55" i="5" s="1"/>
  <c r="G54" i="5"/>
  <c r="E54" i="5" s="1"/>
  <c r="G53" i="5"/>
  <c r="G52" i="5"/>
  <c r="G51" i="5"/>
  <c r="E50" i="5"/>
  <c r="D50" i="5"/>
  <c r="J49" i="5"/>
  <c r="H49" i="5"/>
  <c r="G49" i="5"/>
  <c r="E49" i="5"/>
  <c r="J48" i="5"/>
  <c r="H48" i="5"/>
  <c r="G48" i="5"/>
  <c r="E48" i="5"/>
  <c r="H47" i="5"/>
  <c r="J47" i="5" s="1"/>
  <c r="E47" i="5"/>
  <c r="G47" i="5" s="1"/>
  <c r="J46" i="5"/>
  <c r="G46" i="5"/>
  <c r="H45" i="5"/>
  <c r="J45" i="5" s="1"/>
  <c r="E45" i="5"/>
  <c r="G45" i="5" s="1"/>
  <c r="J44" i="5"/>
  <c r="H44" i="5"/>
  <c r="J43" i="5"/>
  <c r="H43" i="5"/>
  <c r="J42" i="5"/>
  <c r="J41" i="5"/>
  <c r="H41" i="5" s="1"/>
  <c r="G40" i="5"/>
  <c r="E40" i="5" s="1"/>
  <c r="G39" i="5"/>
  <c r="E39" i="5" s="1"/>
  <c r="G38" i="5"/>
  <c r="E38" i="5" s="1"/>
  <c r="D38" i="5"/>
  <c r="G37" i="5"/>
  <c r="E37" i="5"/>
  <c r="D37" i="5"/>
  <c r="G36" i="5"/>
  <c r="E36" i="5" s="1"/>
  <c r="D36" i="5"/>
  <c r="G35" i="5"/>
  <c r="E35" i="5"/>
  <c r="D35" i="5"/>
  <c r="G34" i="5"/>
  <c r="D34" i="5"/>
  <c r="G33" i="5"/>
  <c r="J32" i="5"/>
  <c r="H32" i="5"/>
  <c r="J31" i="5"/>
  <c r="H31" i="5"/>
  <c r="J30" i="5"/>
  <c r="H30" i="5"/>
  <c r="J29" i="5"/>
  <c r="H29" i="5"/>
  <c r="G29" i="5"/>
  <c r="E29" i="5"/>
  <c r="J28" i="5"/>
  <c r="H28" i="5"/>
  <c r="G28" i="5"/>
  <c r="E28" i="5"/>
  <c r="J27" i="5"/>
  <c r="H27" i="5"/>
  <c r="G27" i="5"/>
  <c r="E27" i="5"/>
  <c r="J26" i="5"/>
  <c r="H26" i="5"/>
  <c r="G26" i="5"/>
  <c r="E26" i="5"/>
  <c r="J25" i="5"/>
  <c r="H25" i="5"/>
  <c r="G25" i="5"/>
  <c r="E25" i="5"/>
  <c r="J24" i="5"/>
  <c r="H24" i="5"/>
  <c r="G24" i="5"/>
  <c r="E24" i="5"/>
  <c r="J23" i="5"/>
  <c r="H23" i="5"/>
  <c r="J22" i="5"/>
  <c r="H22" i="5"/>
  <c r="G22" i="5"/>
  <c r="J21" i="5"/>
  <c r="H21" i="5" s="1"/>
  <c r="G21" i="5"/>
  <c r="G109" i="5" s="1"/>
  <c r="G111" i="5" s="1"/>
  <c r="G368" i="5" s="1"/>
  <c r="J20" i="5"/>
  <c r="H20" i="5"/>
  <c r="G20" i="5"/>
  <c r="E20" i="5"/>
  <c r="J19" i="5"/>
  <c r="H19" i="5"/>
  <c r="J18" i="5"/>
  <c r="H18" i="5"/>
  <c r="J17" i="5"/>
  <c r="H17" i="5"/>
  <c r="G17" i="5"/>
  <c r="E17" i="5"/>
  <c r="J16" i="5"/>
  <c r="H16" i="5"/>
  <c r="G16" i="5"/>
  <c r="E16" i="5"/>
  <c r="J15" i="5"/>
  <c r="H15" i="5"/>
  <c r="G15" i="5"/>
  <c r="E15" i="5"/>
  <c r="J14" i="5"/>
  <c r="J13" i="5"/>
  <c r="J109" i="5" s="1"/>
  <c r="J111" i="5" s="1"/>
  <c r="J12" i="5"/>
  <c r="E12" i="5"/>
  <c r="E11" i="5"/>
  <c r="E9" i="5"/>
  <c r="E109" i="5" l="1"/>
  <c r="E111" i="5" s="1"/>
  <c r="E368" i="5" s="1"/>
  <c r="H365" i="5"/>
  <c r="H367" i="5" s="1"/>
  <c r="J365" i="5"/>
  <c r="J367" i="5" s="1"/>
  <c r="J368" i="5" s="1"/>
  <c r="H12" i="5"/>
  <c r="H109" i="5" s="1"/>
  <c r="H111" i="5" s="1"/>
  <c r="H368" i="5" s="1"/>
</calcChain>
</file>

<file path=xl/sharedStrings.xml><?xml version="1.0" encoding="utf-8"?>
<sst xmlns="http://schemas.openxmlformats.org/spreadsheetml/2006/main" count="629" uniqueCount="451">
  <si>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</si>
  <si>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</si>
  <si>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</si>
  <si>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</si>
  <si>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</si>
  <si>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</si>
  <si>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</si>
  <si>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</si>
  <si>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</si>
  <si>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</si>
  <si>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</si>
  <si>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</si>
  <si>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</si>
  <si>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__</t>
  </si>
  <si>
    <t>Капитализация процентов январь</t>
  </si>
  <si>
    <t>Капитализация процентов февраль</t>
  </si>
  <si>
    <t>Капитализация процентов март</t>
  </si>
  <si>
    <t>Капитализация процентов апрель</t>
  </si>
  <si>
    <t>Капитализация процентов май</t>
  </si>
  <si>
    <t>Капитализация процентов июнь</t>
  </si>
  <si>
    <t>ООО "Формматериалы"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</si>
  <si>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</si>
  <si>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</si>
  <si>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</si>
  <si>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ООО "Производственная фирма "СТИС""</t>
  </si>
  <si>
    <t>ИТОГО по ВОДООТВЕДЕНИЮ</t>
  </si>
  <si>
    <t>ООО "ЭНЕРГОСТРОЙ"</t>
  </si>
  <si>
    <t>ООО "ПОЛИПЛАСТИК Поволжье"</t>
  </si>
  <si>
    <t>ООО "Полипластик Поволжье"</t>
  </si>
  <si>
    <t>ПИР, СМР. Строительство сетей водоснабжения в микрорайоне Никольское</t>
  </si>
  <si>
    <t>АО "МАЙ ПРОЕКТ"</t>
  </si>
  <si>
    <t>ПИР, СМР. Строительство канализационных сетей и сооружений в микрорайоне Никольское</t>
  </si>
  <si>
    <t>ВСЕГО по ВОДОСНАБЖЕНИЮ и ВОДООТВЕДЕНИЮ, в т.ч. Расходы заказчика-застройщика</t>
  </si>
  <si>
    <t>Справочно</t>
  </si>
  <si>
    <t>Показатель</t>
  </si>
  <si>
    <t>Начисление</t>
  </si>
  <si>
    <t xml:space="preserve">- банковская гарантия </t>
  </si>
  <si>
    <t>- расходы на %% по кредитам</t>
  </si>
  <si>
    <t>Возмещение НДС с расходов по инвестиционным мероприятиям</t>
  </si>
  <si>
    <t>НДС к уплате (расчетный)</t>
  </si>
  <si>
    <t>ООО "ЭкоСтрой"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</si>
  <si>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</si>
  <si>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</si>
  <si>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</si>
  <si>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МКП "УПРАВЛЕНИЕ ГЛАВНОГО АРХИТЕКТОРА"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</si>
  <si>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</si>
  <si>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Реконструкция участка канализационных сетей п. Первого мая</t>
  </si>
  <si>
    <t>Строительство Сочинского коллектора</t>
  </si>
  <si>
    <t>540/16 от 03.11.2016</t>
  </si>
  <si>
    <t>Создание гидравлической модели работы системы водоотведения</t>
  </si>
  <si>
    <t>Расходы заказчика-застройщика по водоотведению</t>
  </si>
  <si>
    <t>ИТОГО по ВОДООТВЕДЕНИЮ, в т.ч. Расходы заказчика-застройщика</t>
  </si>
  <si>
    <t>Структура финансовых потоков по инвестиционной программе (ИП), тыс.руб.</t>
  </si>
  <si>
    <t>Расходы на обслуживание кредитов с НДС, в т.ч.</t>
  </si>
  <si>
    <t>НДС итого (обязательство по уплате в бюджет (+) / к возмещению из бюджета (-)), в т. ч.</t>
  </si>
  <si>
    <t>Е.С. Александрова</t>
  </si>
  <si>
    <t>ПИР, СМР. Реконструкция очистных сооружений с деманганацией подземных вод на ВПС-12 (инв. №10000234)</t>
  </si>
  <si>
    <t>№ 361/17 от 29.06.2017</t>
  </si>
  <si>
    <t>ПИР, СМР. Реконструкция очистных сооружений с деманганацией подземных вод на ВПС-8 (инв. №10000137)</t>
  </si>
  <si>
    <t>ООО УК "РОСВОДОКАНАЛ"</t>
  </si>
  <si>
    <t>№ 138/14 от 12.03.2014г.</t>
  </si>
  <si>
    <t>№ 653/17 от 11.10.2017</t>
  </si>
  <si>
    <t>ФГБУ "Центр лабораторного анализа и технических измерений по Центральному федеральному округу"</t>
  </si>
  <si>
    <t>№843/17 от 15.12.2017</t>
  </si>
  <si>
    <t>ИП Строительство цеха механического обезвоживания осадка (ЦМО) на ПОС ПИР.СМР.</t>
  </si>
  <si>
    <t>ООО "ГЕА Вестфалия Сепаратор Си Ай Эс"</t>
  </si>
  <si>
    <t>№862/17 от 21.12.2017</t>
  </si>
  <si>
    <t>ООО "МАГИСТРАЛЬ ТЕЛЕКОМ"</t>
  </si>
  <si>
    <t>№840/17 от 15.12.2017</t>
  </si>
  <si>
    <t>ООО "КАМАЗТЕХОБСЛУЖИВАНИЕ"</t>
  </si>
  <si>
    <t>ООО "Промкабель"</t>
  </si>
  <si>
    <t>№855/17 от 20.12.2017</t>
  </si>
  <si>
    <t>№754/17 от 22.11.2017</t>
  </si>
  <si>
    <t>ООО "ТЕХСТРОЙ"</t>
  </si>
  <si>
    <t>ООО "ВоронежТехСтрой"</t>
  </si>
  <si>
    <t>№749/17 от 20.11.2017</t>
  </si>
  <si>
    <t>ООО "Бурспецмонтаж"</t>
  </si>
  <si>
    <t>№778/17 от 28.11.2017</t>
  </si>
  <si>
    <t>ООО "Новый проект"</t>
  </si>
  <si>
    <t>ООО "СК Инженерные сети"</t>
  </si>
  <si>
    <t>АО "Электроагрегат"</t>
  </si>
  <si>
    <t>№879/17 от 26.12.2017</t>
  </si>
  <si>
    <t>№894/17 от 28.12.2017</t>
  </si>
  <si>
    <t>ПИР, СМР. Реконструкция канализационной линии по ул. Дубровина Д=250-450мм протяжённостью L=1700 п.м. (инв. №30014578 «Канализационные сети Левобережного района»)</t>
  </si>
  <si>
    <t>ООО "СК ЕВРОМОНТАЖ"</t>
  </si>
  <si>
    <t>№712/17 от 09.11.2017</t>
  </si>
  <si>
    <t>№880/17 от 26.12.2017</t>
  </si>
  <si>
    <t>ООО "Промышленные технологии"</t>
  </si>
  <si>
    <t>ООО "Гнб36строй"</t>
  </si>
  <si>
    <t>№750/17 от 20.11.2017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</si>
  <si>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</si>
  <si>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</si>
  <si>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</si>
  <si>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</si>
  <si>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Налог на прибыль </t>
  </si>
  <si>
    <t xml:space="preserve">Финансовый директор </t>
  </si>
  <si>
    <t>С.В. Туршатова</t>
  </si>
  <si>
    <t>Начальник ОРИП</t>
  </si>
  <si>
    <t>1 полугодие  2018 г.</t>
  </si>
  <si>
    <t>ООО "ВАГ-Арматурен Рус"</t>
  </si>
  <si>
    <t>№728/17 от 14.11.2017</t>
  </si>
  <si>
    <t>№21 от 09.01.2018</t>
  </si>
  <si>
    <t>ООО "КОРПОРАЦИЯ МЕТАЛЛИНВЕСТ"</t>
  </si>
  <si>
    <t xml:space="preserve"> №861/17 от 21.12.2017</t>
  </si>
  <si>
    <t xml:space="preserve">№409 от 26.01.2018 </t>
  </si>
  <si>
    <t xml:space="preserve">ООО БМА Руссланд </t>
  </si>
  <si>
    <t>№871/17 от 25.12.2017 (СМР)</t>
  </si>
  <si>
    <t>№1300 от 27.02.2018</t>
  </si>
  <si>
    <t>КС-2, КС-3 №2 от 30.03.2018</t>
  </si>
  <si>
    <t>КС-2, КС-3 №3 от 30.03.2018</t>
  </si>
  <si>
    <t>КС-2, КС-3 №4 от 30.04.2018</t>
  </si>
  <si>
    <t>№11458 от 30.05.2018</t>
  </si>
  <si>
    <t>КС-2, КС-3 №6 от 30.05.2018</t>
  </si>
  <si>
    <t>№11459 от 30.05.2018</t>
  </si>
  <si>
    <t>КС-2, КС-3 №5 от 31.05.2018</t>
  </si>
  <si>
    <t>№13431 от 29.06.2018</t>
  </si>
  <si>
    <t>с/ф №409 от 15.06.2018</t>
  </si>
  <si>
    <t>с/ф №415 от 15.06.2018</t>
  </si>
  <si>
    <t>№834/17от 12.12.2017 (поставка аэраторов)</t>
  </si>
  <si>
    <t>№2026 от 19.03.2018</t>
  </si>
  <si>
    <t>Товарная накладная №43 от 18.01.2018</t>
  </si>
  <si>
    <t>№2259 от 26.03.2018</t>
  </si>
  <si>
    <t>Товарная накладная №54 от 24.01.2018</t>
  </si>
  <si>
    <t>№2972 от 09.04.2018</t>
  </si>
  <si>
    <t>Товарная накладная №84 от 15.02.2018</t>
  </si>
  <si>
    <t>№3147 от 16.04.2018</t>
  </si>
  <si>
    <t>Товарная накладная №79 от 06.02.2018</t>
  </si>
  <si>
    <t>№2045 от 20.03.2018 (часть)</t>
  </si>
  <si>
    <t>Акт №19 от 31.01.2018</t>
  </si>
  <si>
    <t>Акт №28 от 31.01.2018</t>
  </si>
  <si>
    <t>Отчет агента за январь 2018</t>
  </si>
  <si>
    <t>Отчет агента за февраль 2018</t>
  </si>
  <si>
    <t>акт №246 от 30.04.2018</t>
  </si>
  <si>
    <t>акт № 246 от 30.05.2018</t>
  </si>
  <si>
    <t>акт №368 от 30.06.2018</t>
  </si>
  <si>
    <t>акт №79 от 30.06.2018</t>
  </si>
  <si>
    <t xml:space="preserve">ООО  Торговый дом  "ПРОТЭК Стройкомплект" </t>
  </si>
  <si>
    <t>№88/18 от 16.01.2018</t>
  </si>
  <si>
    <t>№1450 от 06.03.2018</t>
  </si>
  <si>
    <t>ООО "Производственная Компания "АИР-ГАЗ"</t>
  </si>
  <si>
    <t>№99/18 от 17.01.2018</t>
  </si>
  <si>
    <t xml:space="preserve">№2881 от 02.04.2018 </t>
  </si>
  <si>
    <t>ООО Группа Компаний "ПЛАСТИК"</t>
  </si>
  <si>
    <t>№93/18 от 17.01.2018</t>
  </si>
  <si>
    <t>№2931 от 06.04.2018</t>
  </si>
  <si>
    <t>№97/18 от 17.01.2018</t>
  </si>
  <si>
    <t>№3780 от 20.04.2018</t>
  </si>
  <si>
    <t>№113/18 от 23.01.2018</t>
  </si>
  <si>
    <t>№3968 от 27.04.2018</t>
  </si>
  <si>
    <t>ООО "Инженерные системы 2000"</t>
  </si>
  <si>
    <t>№ 106/18 от 18.01.2018</t>
  </si>
  <si>
    <t>№4132 от 07.05.2018</t>
  </si>
  <si>
    <t>№422/18 от 28.05.2018</t>
  </si>
  <si>
    <t>№13438 от 29.06.2018</t>
  </si>
  <si>
    <t>№13436 от 29.06.2018</t>
  </si>
  <si>
    <t>Давальческий материал (март)</t>
  </si>
  <si>
    <t>Отчет по давальческому материалу от 30.03.2018</t>
  </si>
  <si>
    <t>Давальческий материал (апрель)</t>
  </si>
  <si>
    <t>Отчет по давальческому материалу от 30.04.2018</t>
  </si>
  <si>
    <t>Давальческий материал (май)</t>
  </si>
  <si>
    <t>Отчет по давальческому материалу от 30.05.2018</t>
  </si>
  <si>
    <t>Давальческий материал (июнь)</t>
  </si>
  <si>
    <t>Отчет по давальческому материалу от 15.06.2018</t>
  </si>
  <si>
    <t>Капитализация процентов (февраль)</t>
  </si>
  <si>
    <t>Капитализация процентов (март)</t>
  </si>
  <si>
    <t>Капитализация процентов (апрель)</t>
  </si>
  <si>
    <t>Капитализация процентов (май)</t>
  </si>
  <si>
    <t>Капитализация процентов (июнь)</t>
  </si>
  <si>
    <t>№106 от 12.01.2018</t>
  </si>
  <si>
    <t>№369 от 25.01.2018</t>
  </si>
  <si>
    <t>ООО "Ариэль Металл"</t>
  </si>
  <si>
    <t>№695/17 от 27.10.2017</t>
  </si>
  <si>
    <t>№1207 от 21.02.2018</t>
  </si>
  <si>
    <t>№1449 от 06.03.2018</t>
  </si>
  <si>
    <t>№12195 от 18.06.2018</t>
  </si>
  <si>
    <t>№13435 от 29.06.2018</t>
  </si>
  <si>
    <t>870/17 от 25.12.2017 (СМР)</t>
  </si>
  <si>
    <t>№13419 от 29.06.2018</t>
  </si>
  <si>
    <t>КС-2, КС-3 №1 от 30.03.2018</t>
  </si>
  <si>
    <t>№13420 от 29.06.2018</t>
  </si>
  <si>
    <t>КС-2, КС-3 №2 от 30.04.2018</t>
  </si>
  <si>
    <t>КС-2, КС-3  №3 от 30.04.2018</t>
  </si>
  <si>
    <t>КС-2, КС-3 №4 от 31.05.2018</t>
  </si>
  <si>
    <t>КС-2, КС-3 №9 от 15.06.2018</t>
  </si>
  <si>
    <t>КС-2, КС-3 №10 от 15.06.2018</t>
  </si>
  <si>
    <t>835/17от 12.12.2017 (поставка аэраторов)</t>
  </si>
  <si>
    <t>№4379 от 10.05.2018</t>
  </si>
  <si>
    <t>Товарная накладная №180 от 06.03.2018</t>
  </si>
  <si>
    <t>№11398 от 28.05.2018</t>
  </si>
  <si>
    <t>Товарная накладная №181 от 26.03.2018</t>
  </si>
  <si>
    <t>№11457 от 30.05.2018</t>
  </si>
  <si>
    <t>Товарная накладная №201 от 30.03.2018</t>
  </si>
  <si>
    <t>№11460 от 30.05.2018</t>
  </si>
  <si>
    <t>Товарная накладная №253 от 30.04.2018</t>
  </si>
  <si>
    <t>№11950 от 13.06.2018</t>
  </si>
  <si>
    <t>Товарная накладная №234 от 30.04.2018</t>
  </si>
  <si>
    <t>№12185 от 18.06.2018</t>
  </si>
  <si>
    <t>Товарная накладная №226 от 30.04.2018</t>
  </si>
  <si>
    <t>№12576 от 20.06.2018</t>
  </si>
  <si>
    <t>№2033 от 20.03.2018 (часть)</t>
  </si>
  <si>
    <t>акт №211 от 31.03.2018</t>
  </si>
  <si>
    <t>акт №247  от 30.04.2018</t>
  </si>
  <si>
    <t>акт №246 от 31.05.2018</t>
  </si>
  <si>
    <t>ООО "ПК "АИР-ГАЗ"</t>
  </si>
  <si>
    <t>№2880 от 02.04.2018</t>
  </si>
  <si>
    <t>ООО "Аргу-фитинг"</t>
  </si>
  <si>
    <t>№96/18 от 17.01.2018</t>
  </si>
  <si>
    <t>№2929 от 06.04.2018</t>
  </si>
  <si>
    <t>№2930 от 06.04.2018</t>
  </si>
  <si>
    <t>№3143 от 16.04.2018</t>
  </si>
  <si>
    <t>ООО "НПП "СВПРК"</t>
  </si>
  <si>
    <t>№727/17 от 14.11.2017</t>
  </si>
  <si>
    <t xml:space="preserve">№3105 от 12.04.2018 </t>
  </si>
  <si>
    <t>№4028 от 28.04.2018</t>
  </si>
  <si>
    <t>№3106 от 12.04.2018</t>
  </si>
  <si>
    <t>№4133 от 07.05.2018</t>
  </si>
  <si>
    <t>№13429 от 29.06.2018</t>
  </si>
  <si>
    <t>ООО "ИТС Полимер"</t>
  </si>
  <si>
    <t>№13441 от 29.06.2018</t>
  </si>
  <si>
    <t>Отчет по дав.материалу от 30.03.2018</t>
  </si>
  <si>
    <t>Отчет по дав.материалу от 30.04.2018</t>
  </si>
  <si>
    <t>Отчет по дав.материалу от 15.06.2018</t>
  </si>
  <si>
    <t xml:space="preserve">Создание автоматической системы управления технологического процесса работы системы подачи и распределения воды (АСУ ТП ПРВ) </t>
  </si>
  <si>
    <t>АО "Системы управления"</t>
  </si>
  <si>
    <t>№528/18  от 29.06.2018</t>
  </si>
  <si>
    <t>акт №1 от 29.06.2018</t>
  </si>
  <si>
    <t xml:space="preserve">№410 от 26.01.2018 </t>
  </si>
  <si>
    <t>КС-2, КС-3 №3 от 19.01.2018</t>
  </si>
  <si>
    <t xml:space="preserve">№1170 от 20.02.2018 </t>
  </si>
  <si>
    <t>КС-2, КС-3 №6 от 22.01.2018</t>
  </si>
  <si>
    <t xml:space="preserve">№1171 от 20.02.2018 </t>
  </si>
  <si>
    <t>КС-2, КС-3 №7 от 25.05.2018</t>
  </si>
  <si>
    <t>№12825 от 22.06.2018</t>
  </si>
  <si>
    <t>КС-2, КС-3 №8 от 25.05.2018</t>
  </si>
  <si>
    <t>№12826 от 22.06.2018</t>
  </si>
  <si>
    <t>КС-2, КС-3 №9 от 29.06.2018</t>
  </si>
  <si>
    <t>КС-2, КС-3 №10 от 29.06.2018</t>
  </si>
  <si>
    <t>КС-2, КС-3 №11 от 29.06.2018</t>
  </si>
  <si>
    <t>акт №21 от 31.01.2018</t>
  </si>
  <si>
    <t>Отчет по дав.материалу от 25.05.2018</t>
  </si>
  <si>
    <t>Отчет по дав.материалу от 29.06.2018</t>
  </si>
  <si>
    <t>№468/15 от 16.10.2015</t>
  </si>
  <si>
    <t>№232 от 19.01.2018</t>
  </si>
  <si>
    <t>№393 от 26.01.2018</t>
  </si>
  <si>
    <t>№427/15 от 30.09.2015</t>
  </si>
  <si>
    <t>№1283 от 26.02.2018</t>
  </si>
  <si>
    <t>№ 187/16 от 06.05.2016</t>
  </si>
  <si>
    <t>Корректировка долга</t>
  </si>
  <si>
    <t>№ 56/17 от 07.02.2017</t>
  </si>
  <si>
    <t>№433 от 29.01.2018</t>
  </si>
  <si>
    <t>№457 от 29.01.2018</t>
  </si>
  <si>
    <t>Акт №30 от 31.01.2018</t>
  </si>
  <si>
    <t>№753 от 13.02.2018</t>
  </si>
  <si>
    <t>Акт №68 от 28.0.2018</t>
  </si>
  <si>
    <t>№1974 от 16.03.2018</t>
  </si>
  <si>
    <t>Акт №104 от 31.03.2018</t>
  </si>
  <si>
    <t>№3128 от 13.04.2018</t>
  </si>
  <si>
    <t>№13412 от 28.06.2018</t>
  </si>
  <si>
    <t>70,330                   в месяц</t>
  </si>
  <si>
    <t>№406 от 26.01.2018</t>
  </si>
  <si>
    <t>Акт №2 от 29.01.2018</t>
  </si>
  <si>
    <t>№1342 от 28.02.2018</t>
  </si>
  <si>
    <t>Акт №3 от 28.02.2018</t>
  </si>
  <si>
    <t>№2852 от 30.03.2018</t>
  </si>
  <si>
    <t>Акт №4 от 26.03.2018</t>
  </si>
  <si>
    <t>№3982 от 27.04.2018</t>
  </si>
  <si>
    <t>Акт №6 от 28.06.2018</t>
  </si>
  <si>
    <t>№12600 от 21.06.2018</t>
  </si>
  <si>
    <t>Акт №5 от 21.05.2018</t>
  </si>
  <si>
    <t>№ 138/14 от 12.03.2014</t>
  </si>
  <si>
    <t xml:space="preserve">№502 от 31.01.2018 </t>
  </si>
  <si>
    <t xml:space="preserve">Отчет агента за февраль 2018 </t>
  </si>
  <si>
    <t>акт №92 от 28.02.2018</t>
  </si>
  <si>
    <t>акт №408 от 30.06.2018</t>
  </si>
  <si>
    <t>№755 от 13.02.2018</t>
  </si>
  <si>
    <t>КС-3 №2 от 31.01.2018, КС-2 №14 от 31.01.2018</t>
  </si>
  <si>
    <t>№1689 от 16.03.2018</t>
  </si>
  <si>
    <t>КС-3 №3 от 28.02.2018, КС-2 №27 от 28.02.2018</t>
  </si>
  <si>
    <t>№2957 от 06.04.2018</t>
  </si>
  <si>
    <t>КС-3 ;4 от 30.03.2018, КС-2 №28 от 26.03.2018</t>
  </si>
  <si>
    <t>№3893 от 24.04.2018</t>
  </si>
  <si>
    <t>КС-3 №5 от 30.04.2018, КС-2 №40-47 от 30.04.2018</t>
  </si>
  <si>
    <t>КС-3 №6 от 15.05.2018, КС-2 №48-52 от 15.05.2018</t>
  </si>
  <si>
    <t>КС-3 №7 от 31.05.2018, КС-2 №53-61 от 31.05.2018</t>
  </si>
  <si>
    <t>КС-2,КС-3 №9 от 29.06.2018</t>
  </si>
  <si>
    <t>КС-2,КС-3 №8 от 30.06.2018</t>
  </si>
  <si>
    <t>КС-2,КС-3 №10 от 30.06.2018</t>
  </si>
  <si>
    <t>КС-2,КС-3 №11 от 30.06.2018</t>
  </si>
  <si>
    <t>КС-2,КС-3 №12 от 30.06.2018</t>
  </si>
  <si>
    <t>КС-2,КС-3 №13 от 30.06.2018</t>
  </si>
  <si>
    <t>КС-2,КС-3 №14 от 30.06.2018</t>
  </si>
  <si>
    <t xml:space="preserve"> №845/17 от 15.12.2017</t>
  </si>
  <si>
    <t>№756 от 13.02.2018</t>
  </si>
  <si>
    <t>№47/17 от 03.02.17</t>
  </si>
  <si>
    <t>№1304 от 27.02.2018</t>
  </si>
  <si>
    <t>№48/17 от 02.02.17</t>
  </si>
  <si>
    <t xml:space="preserve">№1305 от 27.02.2018 </t>
  </si>
  <si>
    <t>ООО "Гидропомпа"</t>
  </si>
  <si>
    <t>№52/17 от 06.02.17</t>
  </si>
  <si>
    <t xml:space="preserve">№1308 от 27.02.2018 </t>
  </si>
  <si>
    <t>Товарная накладная №11 от 20.02.2018</t>
  </si>
  <si>
    <t>№53/17 от 06.02.17</t>
  </si>
  <si>
    <t xml:space="preserve">№1309 от 27.02.2018 </t>
  </si>
  <si>
    <t>Товарная накладная №10 от 20.02.2018</t>
  </si>
  <si>
    <t>ООО ИКСЭП</t>
  </si>
  <si>
    <t>№104/18 от 17.01.2018</t>
  </si>
  <si>
    <t>№11400 от 28.05.2018</t>
  </si>
  <si>
    <t>от 28.04.2018</t>
  </si>
  <si>
    <t>ООО "Геоцентр"</t>
  </si>
  <si>
    <t>№103/18 от 17.01.2018</t>
  </si>
  <si>
    <t>акт №34 от 29.06.2018</t>
  </si>
  <si>
    <t>АЛЬФА-БАНК (Договор факторинга по дог.840/17 от 15.12.2017 с ООО "Магистраль Телеком"0</t>
  </si>
  <si>
    <t>Ф-00977 от 23.05.2018</t>
  </si>
  <si>
    <t>№12823 от 22.06.2018</t>
  </si>
  <si>
    <t>№433/17 от 25.07.2017</t>
  </si>
  <si>
    <t>№398 от 26.01.2018</t>
  </si>
  <si>
    <t xml:space="preserve">№386 от 26.01.2018 </t>
  </si>
  <si>
    <t>ООО "Технологии 21 век"</t>
  </si>
  <si>
    <t xml:space="preserve">№561 от 05.02.2018 </t>
  </si>
  <si>
    <t>КС-3, КС-2 №13 от 31.01.2018</t>
  </si>
  <si>
    <t>№1687 от 16.03.2018</t>
  </si>
  <si>
    <t>КС-3, КС-2 №14 от 28.02.2018</t>
  </si>
  <si>
    <t>№3895 от 24.04.2018</t>
  </si>
  <si>
    <t>КС-3, КС-2 №15 от 30.03.2018</t>
  </si>
  <si>
    <t>№2956 от 06.04.2018</t>
  </si>
  <si>
    <t>КС-3 №16 от 30.04.2018, КС-2 №16/1, 16/2 от 30.04.2018</t>
  </si>
  <si>
    <t>№12820 от 22.06.2018</t>
  </si>
  <si>
    <t>КС-3, КС-2 №17 от 31.05.2018</t>
  </si>
  <si>
    <t>КС-3, КС-2 №18 от 25.06.2018</t>
  </si>
  <si>
    <t>КС-3, КС-2 №19 от 29.06.2018</t>
  </si>
  <si>
    <t>КС-3, КС-2 №20 от 29.06.2018</t>
  </si>
  <si>
    <t>Капитализация процентов (январь)</t>
  </si>
  <si>
    <t>ООО НПП "Компьютерные технологии"</t>
  </si>
  <si>
    <t>№337/16 от 21.07.16</t>
  </si>
  <si>
    <t>№397 от 26.01.2018</t>
  </si>
  <si>
    <t>ПИР, СМР. Реконструкция главного Левобережного коллектора Д-2000 мм (инв. №30014578 «Канализационные сети Левобережного района»)</t>
  </si>
  <si>
    <t>ООО КСП "ПроектКонсалтинг"</t>
  </si>
  <si>
    <t>№16/18 от 10.01.2018</t>
  </si>
  <si>
    <t>№3899 от 24.04.2018</t>
  </si>
  <si>
    <t>акт №4 от 02.04.2018</t>
  </si>
  <si>
    <t>№430/16 от 20.09.2016</t>
  </si>
  <si>
    <t>корректировка долга</t>
  </si>
  <si>
    <t>№387 от 26.01.2018</t>
  </si>
  <si>
    <t>№11159 от 22.05.2018</t>
  </si>
  <si>
    <t>акт № 080-2/2017-РВК от 30.04.2018</t>
  </si>
  <si>
    <t>№772/17 от 28.11.2017</t>
  </si>
  <si>
    <t xml:space="preserve">№388 от 26.01.2018 </t>
  </si>
  <si>
    <t>№390 от 26.01.2018</t>
  </si>
  <si>
    <t>№550 от 05.02.2018</t>
  </si>
  <si>
    <t>№688/17 от 25.10.2017</t>
  </si>
  <si>
    <t>№392 от 26.01.2018</t>
  </si>
  <si>
    <t>№395 от 26.01.2018</t>
  </si>
  <si>
    <t>№562 от 05.02.2018</t>
  </si>
  <si>
    <t>ООО "Инекс"</t>
  </si>
  <si>
    <t>№729/17 от 14.11.2017</t>
  </si>
  <si>
    <t>№394 от 26.01.2018</t>
  </si>
  <si>
    <t xml:space="preserve"> №775/17 от 28.11.2017</t>
  </si>
  <si>
    <t>№399 от 26.01.2018</t>
  </si>
  <si>
    <t>№1303 от 27.02.2018</t>
  </si>
  <si>
    <t>КС-2, КС-3 №4 от 29.06.2018</t>
  </si>
  <si>
    <t>№400 от 26.01.2018</t>
  </si>
  <si>
    <t xml:space="preserve">№1302 от 27.02.2018 </t>
  </si>
  <si>
    <t>КС-2, КС-3 №3 от 25.01.2018</t>
  </si>
  <si>
    <t>№401 от 26.01.2018</t>
  </si>
  <si>
    <t xml:space="preserve">№402 от 26.01.2018 </t>
  </si>
  <si>
    <t>№768 от 14.02.2018</t>
  </si>
  <si>
    <t>№ 738/17 от 17.11.2017</t>
  </si>
  <si>
    <t xml:space="preserve">№403 от 26.01.2018 </t>
  </si>
  <si>
    <t>№404 от 26.01.2018</t>
  </si>
  <si>
    <t>№767 от 14.02.2018</t>
  </si>
  <si>
    <t xml:space="preserve">№1307 от 27.02.2018 </t>
  </si>
  <si>
    <t>УПД № 34-004 от 03.02.2018</t>
  </si>
  <si>
    <t>№2960 от 06.04.2018</t>
  </si>
  <si>
    <t>№3894 от 24.04.2018</t>
  </si>
  <si>
    <t>УПД № 52-053 от 21.02.2018</t>
  </si>
  <si>
    <t>№3896 от 24.04.2018</t>
  </si>
  <si>
    <t>УПД № 57-009 от 26.02.2018</t>
  </si>
  <si>
    <t xml:space="preserve">№702/17 от 31.10.2017 </t>
  </si>
  <si>
    <t>Акт №0000-003539 от 28.02.2018</t>
  </si>
  <si>
    <t>ТД Глобус</t>
  </si>
  <si>
    <t>№2955 от 06.04.2018</t>
  </si>
  <si>
    <t>УПД № 22 от 20.02.2018</t>
  </si>
  <si>
    <t>№3897 от 24.04.2018</t>
  </si>
  <si>
    <t>УПД № 31 от 28.02.2018</t>
  </si>
  <si>
    <t>№3898 от 24.04.2018</t>
  </si>
  <si>
    <t>№1177 от 01.06.2018</t>
  </si>
  <si>
    <t>№2381 от 01.06.2018</t>
  </si>
  <si>
    <t>ООО "Максимум"</t>
  </si>
  <si>
    <t>КС-2,КС-3 №1 от 30.06.2018</t>
  </si>
  <si>
    <t>ООО «СМУ «Картель»</t>
  </si>
  <si>
    <t>№479/18 от 09.06.2018 на сумму 5 270 тыс. руб.</t>
  </si>
  <si>
    <t>КС-2,КС-3 №2 от 30.06.2018</t>
  </si>
  <si>
    <t>доп. соглдашение 602/18 от 30.07.2018</t>
  </si>
  <si>
    <t>КС-2,КС-3 №2 от 30.06.2019</t>
  </si>
  <si>
    <t xml:space="preserve">№480/18 от 09.06.2018 на сумму 4392,62 </t>
  </si>
  <si>
    <t>КС-2,КС-3 №1 от 29.06.2018</t>
  </si>
  <si>
    <t>доп. соглдашение 603/18 от 30.07.2018</t>
  </si>
  <si>
    <t>КС-2,КС-3 №2 от 29.06.2018</t>
  </si>
  <si>
    <t>КС-2,КС-3 №1 от 30.06.2019</t>
  </si>
  <si>
    <t>КС-2,КС-3 №3 от 30.06.2020</t>
  </si>
  <si>
    <t>КС-2,КС-3 №2 от 30.06.2021</t>
  </si>
  <si>
    <t>КС-2,КС-3 №4 от 30.06.2022</t>
  </si>
  <si>
    <t>№481/18 от 09.06.2018</t>
  </si>
  <si>
    <t>КС-2,КС-3 №2 от 30.06.2020</t>
  </si>
  <si>
    <t>КС-2,КС-3 №1 от 29.06.2019</t>
  </si>
  <si>
    <t>Давальческий материал (январь)</t>
  </si>
  <si>
    <t>Отчеты от 19.01.2018, 31.01.2018</t>
  </si>
  <si>
    <t>Отчеты от 9.06.2018, 30.06.2018</t>
  </si>
  <si>
    <t xml:space="preserve"> №642/17 от 09.10.2017</t>
  </si>
  <si>
    <t>№107 от 12.01.2018</t>
  </si>
  <si>
    <t xml:space="preserve">№389 от 26.01.2018 </t>
  </si>
  <si>
    <t>№391 от 26.01.2018</t>
  </si>
  <si>
    <t>№396 от 26.01.2018</t>
  </si>
  <si>
    <t xml:space="preserve">№1301 от 27.02.2018 </t>
  </si>
  <si>
    <t>КС-2, КС-3 №4 от 31.01.2018</t>
  </si>
  <si>
    <t>№12821 от 22.06.2018</t>
  </si>
  <si>
    <t>КС-2, КС-3 №5 от 22.05.2018</t>
  </si>
  <si>
    <t>КС-2, КС-3 №6 от 30.06.2018</t>
  </si>
  <si>
    <t>№365/16 от 08.08.2016</t>
  </si>
  <si>
    <t>№434 от 29.01.2018</t>
  </si>
  <si>
    <t>акт от 30.06.2018</t>
  </si>
  <si>
    <t xml:space="preserve">№81 от 26.01.2018 </t>
  </si>
  <si>
    <t>№1306 от 27.02.2018</t>
  </si>
  <si>
    <t>УПД №34-005  от 03.02.2018</t>
  </si>
  <si>
    <t>№2959 от 06.04.2018</t>
  </si>
  <si>
    <t>УПД №44-009  от 13.02.2018</t>
  </si>
  <si>
    <t>№3892 от 24.04.2018</t>
  </si>
  <si>
    <t>УПД № 51-012  от 20.02.2018</t>
  </si>
  <si>
    <t xml:space="preserve">Отчет агента за январь 2018 </t>
  </si>
  <si>
    <t>акт №79 от 28.02.2018</t>
  </si>
  <si>
    <t>Отчет агента за май 2018</t>
  </si>
  <si>
    <t>Отчет агента за июнь 2018</t>
  </si>
  <si>
    <t>113/18 от 23.01.2018</t>
  </si>
  <si>
    <t>№11476 от 31.05.2018</t>
  </si>
  <si>
    <t>Отчет по давальческому материалу от 31.01.2018</t>
  </si>
  <si>
    <t xml:space="preserve">Реконструкция канализационного дюкера по ул.Серова </t>
  </si>
  <si>
    <t xml:space="preserve">  ОАО "РЖД"</t>
  </si>
  <si>
    <t>№115/18 от 16.01.2018</t>
  </si>
  <si>
    <t xml:space="preserve">446 от 29.01.2018 </t>
  </si>
  <si>
    <t>445 от 29.01.2018</t>
  </si>
  <si>
    <t>ООО "Стройинжиниринг"</t>
  </si>
  <si>
    <t>№741/17 от 17.11.2017</t>
  </si>
  <si>
    <t>№1688 от 16.03.2018</t>
  </si>
  <si>
    <t>Акт №1 от 08.02.2018</t>
  </si>
  <si>
    <t>№12822 от 22.06.2018</t>
  </si>
  <si>
    <t>май</t>
  </si>
  <si>
    <t>№509/18 от 20.06.2018</t>
  </si>
  <si>
    <t>№12824 от 22.06.2018</t>
  </si>
  <si>
    <t>КС-2, КС-3 №6 от 29.06.2018</t>
  </si>
  <si>
    <t>за 1 полугодие 2018 года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</si>
  <si>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  на 2012 – 2018 годы (в рамках реализации Концессионного соглашения от 23.03.2012 г)» ООО "РВК-Воронеж"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</si>
</sst>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91">
    <xf numFmtId="0" fontId="0" fillId="0" borderId="0" xfId="0"/>
    <xf numFmtId="0" fontId="5" fillId="0" borderId="0" xfId="2" applyFont="1" applyFill="1"/>
    <xf numFmtId="0" fontId="6" fillId="0" borderId="0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5" fillId="0" borderId="0" xfId="2" applyFont="1"/>
    <xf numFmtId="0" fontId="7" fillId="0" borderId="0" xfId="2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/>
    <xf numFmtId="164" fontId="6" fillId="0" borderId="0" xfId="3" applyNumberFormat="1" applyFont="1" applyFill="1" applyBorder="1" applyAlignment="1">
      <alignment horizontal="center" vertical="center" wrapText="1"/>
    </xf>
    <xf numFmtId="164" fontId="6" fillId="0" borderId="11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4" fontId="9" fillId="0" borderId="18" xfId="2" applyNumberFormat="1" applyFont="1" applyFill="1" applyBorder="1" applyAlignment="1">
      <alignment horizontal="center" vertical="center" wrapText="1"/>
    </xf>
    <xf numFmtId="4" fontId="9" fillId="0" borderId="19" xfId="2" applyNumberFormat="1" applyFont="1" applyFill="1" applyBorder="1" applyAlignment="1">
      <alignment horizontal="center" vertical="center" wrapText="1"/>
    </xf>
    <xf numFmtId="2" fontId="9" fillId="0" borderId="18" xfId="2" applyNumberFormat="1" applyFont="1" applyFill="1" applyBorder="1" applyAlignment="1">
      <alignment horizontal="center" vertical="center" wrapText="1"/>
    </xf>
    <xf numFmtId="4" fontId="9" fillId="0" borderId="8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" fontId="9" fillId="0" borderId="11" xfId="2" applyNumberFormat="1" applyFont="1" applyFill="1" applyBorder="1" applyAlignment="1">
      <alignment horizontal="center" vertical="center" wrapText="1"/>
    </xf>
    <xf numFmtId="164" fontId="9" fillId="0" borderId="27" xfId="2" applyNumberFormat="1" applyFont="1" applyFill="1" applyBorder="1" applyAlignment="1">
      <alignment horizontal="center" vertical="center" wrapText="1"/>
    </xf>
    <xf numFmtId="4" fontId="9" fillId="0" borderId="27" xfId="2" applyNumberFormat="1" applyFont="1" applyFill="1" applyBorder="1" applyAlignment="1">
      <alignment horizontal="center" vertical="center" wrapText="1"/>
    </xf>
    <xf numFmtId="4" fontId="9" fillId="0" borderId="28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4" fontId="9" fillId="0" borderId="38" xfId="2" applyNumberFormat="1" applyFont="1" applyFill="1" applyBorder="1" applyAlignment="1">
      <alignment horizontal="center" vertical="center" wrapText="1"/>
    </xf>
    <xf numFmtId="164" fontId="9" fillId="0" borderId="38" xfId="2" applyNumberFormat="1" applyFont="1" applyFill="1" applyBorder="1" applyAlignment="1">
      <alignment horizontal="center" vertical="center" wrapText="1"/>
    </xf>
    <xf numFmtId="4" fontId="9" fillId="0" borderId="39" xfId="2" applyNumberFormat="1" applyFont="1" applyFill="1" applyBorder="1" applyAlignment="1">
      <alignment horizontal="center" vertical="center" wrapText="1"/>
    </xf>
    <xf numFmtId="164" fontId="9" fillId="0" borderId="18" xfId="2" applyNumberFormat="1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4" fontId="9" fillId="0" borderId="26" xfId="2" applyNumberFormat="1" applyFont="1" applyFill="1" applyBorder="1" applyAlignment="1">
      <alignment horizontal="center" vertical="center" wrapText="1"/>
    </xf>
    <xf numFmtId="164" fontId="9" fillId="0" borderId="26" xfId="2" applyNumberFormat="1" applyFont="1" applyFill="1" applyBorder="1" applyAlignment="1">
      <alignment horizontal="center" vertical="center" wrapText="1"/>
    </xf>
    <xf numFmtId="4" fontId="9" fillId="0" borderId="5" xfId="2" applyNumberFormat="1" applyFont="1" applyFill="1" applyBorder="1" applyAlignment="1">
      <alignment horizontal="center" vertical="center" wrapText="1"/>
    </xf>
    <xf numFmtId="4" fontId="9" fillId="0" borderId="21" xfId="2" applyNumberFormat="1" applyFont="1" applyFill="1" applyBorder="1" applyAlignment="1">
      <alignment horizontal="center" vertical="center" wrapText="1"/>
    </xf>
    <xf numFmtId="164" fontId="9" fillId="0" borderId="21" xfId="2" applyNumberFormat="1" applyFont="1" applyFill="1" applyBorder="1" applyAlignment="1">
      <alignment horizontal="center" vertical="center" wrapText="1"/>
    </xf>
    <xf numFmtId="4" fontId="9" fillId="0" borderId="22" xfId="2" applyNumberFormat="1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4" fontId="9" fillId="0" borderId="9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4" fontId="9" fillId="0" borderId="33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4" fontId="10" fillId="0" borderId="9" xfId="2" applyNumberFormat="1" applyFont="1" applyFill="1" applyBorder="1" applyAlignment="1">
      <alignment horizontal="center" vertical="center" wrapText="1"/>
    </xf>
    <xf numFmtId="0" fontId="10" fillId="0" borderId="37" xfId="2" applyFont="1" applyFill="1" applyBorder="1" applyAlignment="1">
      <alignment horizontal="center" vertical="center" wrapText="1"/>
    </xf>
    <xf numFmtId="0" fontId="10" fillId="0" borderId="38" xfId="2" applyFont="1" applyFill="1" applyBorder="1" applyAlignment="1">
      <alignment horizontal="center" vertical="center" wrapText="1"/>
    </xf>
    <xf numFmtId="4" fontId="10" fillId="0" borderId="38" xfId="2" applyNumberFormat="1" applyFont="1" applyFill="1" applyBorder="1" applyAlignment="1">
      <alignment horizontal="center" vertical="center" wrapText="1"/>
    </xf>
    <xf numFmtId="4" fontId="10" fillId="0" borderId="39" xfId="2" applyNumberFormat="1" applyFont="1" applyFill="1" applyBorder="1" applyAlignment="1">
      <alignment horizontal="center" vertical="center" wrapText="1"/>
    </xf>
    <xf numFmtId="164" fontId="9" fillId="0" borderId="17" xfId="2" applyNumberFormat="1" applyFont="1" applyFill="1" applyBorder="1" applyAlignment="1">
      <alignment horizontal="center" vertical="center" wrapText="1"/>
    </xf>
    <xf numFmtId="4" fontId="9" fillId="0" borderId="17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2" fontId="9" fillId="0" borderId="27" xfId="2" applyNumberFormat="1" applyFont="1" applyFill="1" applyBorder="1" applyAlignment="1">
      <alignment horizontal="center" vertical="center" wrapText="1"/>
    </xf>
    <xf numFmtId="2" fontId="9" fillId="0" borderId="26" xfId="2" applyNumberFormat="1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>
      <alignment horizontal="center" vertical="center" wrapText="1"/>
    </xf>
    <xf numFmtId="0" fontId="9" fillId="0" borderId="26" xfId="4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" fontId="9" fillId="0" borderId="31" xfId="2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/>
    <xf numFmtId="164" fontId="5" fillId="0" borderId="0" xfId="2" applyNumberFormat="1" applyFont="1" applyFill="1"/>
    <xf numFmtId="164" fontId="3" fillId="0" borderId="0" xfId="2" applyNumberFormat="1" applyFont="1" applyFill="1"/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/>
    <xf numFmtId="0" fontId="10" fillId="0" borderId="4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vertical="center" wrapText="1"/>
    </xf>
    <xf numFmtId="4" fontId="9" fillId="0" borderId="4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48" xfId="0" applyFont="1" applyFill="1" applyBorder="1" applyAlignment="1">
      <alignment vertical="center" wrapText="1"/>
    </xf>
    <xf numFmtId="4" fontId="13" fillId="0" borderId="41" xfId="0" applyNumberFormat="1" applyFont="1" applyFill="1" applyBorder="1" applyAlignment="1">
      <alignment horizontal="right" vertical="center" wrapText="1"/>
    </xf>
    <xf numFmtId="4" fontId="9" fillId="0" borderId="42" xfId="0" applyNumberFormat="1" applyFont="1" applyFill="1" applyBorder="1" applyAlignment="1">
      <alignment horizontal="right" vertical="center" wrapText="1"/>
    </xf>
    <xf numFmtId="0" fontId="9" fillId="0" borderId="0" xfId="2" applyFont="1" applyFill="1" applyAlignment="1">
      <alignment horizontal="left"/>
    </xf>
    <xf numFmtId="0" fontId="9" fillId="0" borderId="0" xfId="2" applyFont="1" applyFill="1" applyBorder="1"/>
    <xf numFmtId="0" fontId="1" fillId="0" borderId="0" xfId="2" applyFont="1"/>
    <xf numFmtId="0" fontId="9" fillId="0" borderId="0" xfId="2" applyFont="1" applyFill="1"/>
    <xf numFmtId="2" fontId="9" fillId="0" borderId="21" xfId="2" applyNumberFormat="1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0" fillId="0" borderId="19" xfId="0" applyFill="1" applyBorder="1"/>
    <xf numFmtId="0" fontId="9" fillId="0" borderId="37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vertical="center" wrapText="1"/>
    </xf>
    <xf numFmtId="4" fontId="10" fillId="0" borderId="33" xfId="2" applyNumberFormat="1" applyFont="1" applyFill="1" applyBorder="1" applyAlignment="1">
      <alignment horizontal="center" vertical="center" wrapText="1"/>
    </xf>
    <xf numFmtId="0" fontId="10" fillId="0" borderId="37" xfId="2" applyFont="1" applyFill="1" applyBorder="1" applyAlignment="1">
      <alignment horizontal="center" vertical="center"/>
    </xf>
    <xf numFmtId="0" fontId="5" fillId="0" borderId="44" xfId="2" applyFont="1" applyFill="1" applyBorder="1"/>
    <xf numFmtId="0" fontId="5" fillId="0" borderId="13" xfId="2" applyFont="1" applyFill="1" applyBorder="1"/>
    <xf numFmtId="0" fontId="5" fillId="0" borderId="14" xfId="2" applyFont="1" applyFill="1" applyBorder="1"/>
    <xf numFmtId="0" fontId="9" fillId="0" borderId="27" xfId="4" applyNumberFormat="1" applyFont="1" applyFill="1" applyBorder="1" applyAlignment="1">
      <alignment horizontal="center" vertical="center" wrapText="1"/>
    </xf>
    <xf numFmtId="164" fontId="9" fillId="0" borderId="33" xfId="2" applyNumberFormat="1" applyFont="1" applyFill="1" applyBorder="1" applyAlignment="1">
      <alignment horizontal="center" vertical="center" wrapText="1"/>
    </xf>
    <xf numFmtId="4" fontId="9" fillId="0" borderId="32" xfId="2" applyNumberFormat="1" applyFont="1" applyFill="1" applyBorder="1" applyAlignment="1">
      <alignment horizontal="center" vertical="center" wrapText="1"/>
    </xf>
    <xf numFmtId="4" fontId="9" fillId="0" borderId="15" xfId="2" applyNumberFormat="1" applyFont="1" applyFill="1" applyBorder="1" applyAlignment="1">
      <alignment horizontal="center" vertical="center" wrapText="1"/>
    </xf>
    <xf numFmtId="4" fontId="9" fillId="0" borderId="20" xfId="2" applyNumberFormat="1" applyFont="1" applyFill="1" applyBorder="1" applyAlignment="1">
      <alignment horizontal="center" vertical="center" wrapText="1"/>
    </xf>
    <xf numFmtId="4" fontId="9" fillId="0" borderId="26" xfId="2" applyNumberFormat="1" applyFont="1" applyFill="1" applyBorder="1" applyAlignment="1">
      <alignment vertical="center" wrapText="1"/>
    </xf>
    <xf numFmtId="4" fontId="9" fillId="0" borderId="18" xfId="2" applyNumberFormat="1" applyFont="1" applyFill="1" applyBorder="1" applyAlignment="1">
      <alignment vertical="center" wrapText="1"/>
    </xf>
    <xf numFmtId="4" fontId="9" fillId="0" borderId="25" xfId="2" applyNumberFormat="1" applyFont="1" applyFill="1" applyBorder="1" applyAlignment="1">
      <alignment horizontal="center" vertical="center" wrapText="1"/>
    </xf>
    <xf numFmtId="4" fontId="9" fillId="0" borderId="30" xfId="2" applyNumberFormat="1" applyFont="1" applyFill="1" applyBorder="1" applyAlignment="1">
      <alignment horizontal="center" vertical="center" wrapText="1"/>
    </xf>
    <xf numFmtId="4" fontId="10" fillId="0" borderId="0" xfId="2" applyNumberFormat="1" applyFont="1" applyFill="1" applyBorder="1" applyAlignment="1">
      <alignment horizontal="center" vertical="center" wrapText="1"/>
    </xf>
    <xf numFmtId="0" fontId="4" fillId="0" borderId="0" xfId="2"/>
    <xf numFmtId="43" fontId="10" fillId="0" borderId="41" xfId="1" applyFont="1" applyFill="1" applyBorder="1" applyAlignment="1">
      <alignment horizontal="center" vertical="center" wrapText="1"/>
    </xf>
    <xf numFmtId="0" fontId="0" fillId="0" borderId="0" xfId="0" applyBorder="1"/>
    <xf numFmtId="4" fontId="14" fillId="0" borderId="0" xfId="0" applyNumberFormat="1" applyFont="1" applyBorder="1" applyAlignment="1">
      <alignment horizontal="right" vertical="center" wrapText="1"/>
    </xf>
    <xf numFmtId="164" fontId="5" fillId="0" borderId="0" xfId="2" applyNumberFormat="1" applyFont="1" applyFill="1" applyBorder="1"/>
    <xf numFmtId="0" fontId="1" fillId="0" borderId="0" xfId="2" applyFont="1" applyBorder="1"/>
    <xf numFmtId="0" fontId="14" fillId="0" borderId="0" xfId="0" applyFont="1" applyBorder="1" applyAlignment="1">
      <alignment horizontal="right" vertical="center" wrapText="1"/>
    </xf>
    <xf numFmtId="4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47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4" fontId="9" fillId="0" borderId="27" xfId="2" applyNumberFormat="1" applyFont="1" applyFill="1" applyBorder="1" applyAlignment="1">
      <alignment horizontal="center" vertical="center" wrapText="1"/>
    </xf>
    <xf numFmtId="0" fontId="6" fillId="0" borderId="34" xfId="2" applyFont="1" applyFill="1" applyBorder="1" applyAlignment="1">
      <alignment horizontal="center" vertical="center"/>
    </xf>
    <xf numFmtId="0" fontId="6" fillId="0" borderId="49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4" fontId="9" fillId="0" borderId="18" xfId="2" applyNumberFormat="1" applyFont="1" applyFill="1" applyBorder="1" applyAlignment="1">
      <alignment horizontal="center" vertical="center" wrapText="1"/>
    </xf>
    <xf numFmtId="4" fontId="9" fillId="0" borderId="28" xfId="2" applyNumberFormat="1" applyFont="1" applyFill="1" applyBorder="1" applyAlignment="1">
      <alignment horizontal="center" vertical="center" wrapText="1"/>
    </xf>
    <xf numFmtId="4" fontId="9" fillId="0" borderId="19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" fontId="9" fillId="0" borderId="17" xfId="2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4" fontId="9" fillId="0" borderId="31" xfId="2" applyNumberFormat="1" applyFont="1" applyFill="1" applyBorder="1" applyAlignment="1">
      <alignment horizontal="center" vertical="center" wrapText="1"/>
    </xf>
    <xf numFmtId="4" fontId="9" fillId="0" borderId="26" xfId="2" applyNumberFormat="1" applyFont="1" applyFill="1" applyBorder="1" applyAlignment="1">
      <alignment horizontal="center" vertical="center" wrapText="1"/>
    </xf>
    <xf numFmtId="4" fontId="9" fillId="0" borderId="21" xfId="2" applyNumberFormat="1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45" xfId="4" applyNumberFormat="1" applyFont="1" applyFill="1" applyBorder="1" applyAlignment="1">
      <alignment horizontal="center" vertical="center" wrapText="1"/>
    </xf>
    <xf numFmtId="0" fontId="9" fillId="0" borderId="47" xfId="4" applyNumberFormat="1" applyFont="1" applyFill="1" applyBorder="1" applyAlignment="1">
      <alignment horizontal="center" vertical="center" wrapText="1"/>
    </xf>
    <xf numFmtId="164" fontId="9" fillId="0" borderId="18" xfId="2" applyNumberFormat="1" applyFont="1" applyFill="1" applyBorder="1" applyAlignment="1">
      <alignment horizontal="center" vertical="center" wrapText="1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16" xfId="4" applyNumberFormat="1" applyFont="1" applyFill="1" applyBorder="1" applyAlignment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164" fontId="9" fillId="0" borderId="26" xfId="2" applyNumberFormat="1" applyFont="1" applyFill="1" applyBorder="1" applyAlignment="1">
      <alignment horizontal="center" vertical="center" wrapText="1"/>
    </xf>
    <xf numFmtId="164" fontId="9" fillId="0" borderId="21" xfId="2" applyNumberFormat="1" applyFont="1" applyFill="1" applyBorder="1" applyAlignment="1">
      <alignment horizontal="center" vertical="center" wrapText="1"/>
    </xf>
    <xf numFmtId="164" fontId="9" fillId="0" borderId="17" xfId="2" applyNumberFormat="1" applyFont="1" applyFill="1" applyBorder="1" applyAlignment="1">
      <alignment horizontal="center" vertical="center" wrapText="1"/>
    </xf>
    <xf numFmtId="0" fontId="9" fillId="0" borderId="26" xfId="4" applyNumberFormat="1" applyFont="1" applyFill="1" applyBorder="1" applyAlignment="1">
      <alignment horizontal="center" vertical="center" wrapText="1"/>
    </xf>
    <xf numFmtId="0" fontId="9" fillId="0" borderId="17" xfId="4" applyNumberFormat="1" applyFont="1" applyFill="1" applyBorder="1" applyAlignment="1">
      <alignment horizontal="center" vertical="center" wrapText="1"/>
    </xf>
    <xf numFmtId="2" fontId="9" fillId="0" borderId="26" xfId="2" applyNumberFormat="1" applyFont="1" applyFill="1" applyBorder="1" applyAlignment="1">
      <alignment horizontal="center" vertical="center" wrapText="1"/>
    </xf>
    <xf numFmtId="2" fontId="9" fillId="0" borderId="17" xfId="2" applyNumberFormat="1" applyFont="1" applyFill="1" applyBorder="1" applyAlignment="1">
      <alignment horizontal="center" vertical="center" wrapText="1"/>
    </xf>
    <xf numFmtId="2" fontId="9" fillId="0" borderId="21" xfId="2" applyNumberFormat="1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3" fillId="0" borderId="12" xfId="0" applyNumberFormat="1" applyFont="1" applyFill="1" applyBorder="1" applyAlignment="1">
      <alignment horizontal="right" vertical="center" wrapText="1"/>
    </xf>
    <xf numFmtId="4" fontId="13" fillId="0" borderId="14" xfId="0" applyNumberFormat="1" applyFont="1" applyFill="1" applyBorder="1" applyAlignment="1">
      <alignment horizontal="right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21" xfId="4" applyNumberFormat="1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>
      <alignment horizontal="center" vertical="center" wrapText="1"/>
    </xf>
    <xf numFmtId="4" fontId="9" fillId="0" borderId="5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4" fontId="9" fillId="0" borderId="9" xfId="2" applyNumberFormat="1" applyFont="1" applyFill="1" applyBorder="1" applyAlignment="1">
      <alignment horizontal="center" vertical="center" wrapText="1"/>
    </xf>
    <xf numFmtId="0" fontId="9" fillId="0" borderId="18" xfId="4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43" fontId="10" fillId="0" borderId="12" xfId="1" applyFont="1" applyFill="1" applyBorder="1" applyAlignment="1">
      <alignment horizontal="center" vertical="center" wrapText="1"/>
    </xf>
    <xf numFmtId="43" fontId="10" fillId="0" borderId="14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3"/>
    <cellStyle name="Обычный_Бизнес-план 2005 г. (РВК)1 экспериментальн 2 со 2 квартала_1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0"/>
  <sheetViews>
    <sheetView tabSelected="1" topLeftCell="A4" zoomScale="60" zoomScaleNormal="60" workbookViewId="0">
      <selection activeCell="O11" sqref="O11"/>
    </sheetView>
  </sheetViews>
  <sheetFormatPr defaultRowHeight="14.4" x14ac:dyDescent="0.3"/>
  <cols>
    <col min="1" max="1" width="31" customWidth="1"/>
    <col min="2" max="2" width="83.6640625" customWidth="1"/>
    <col min="3" max="3" width="22.109375" customWidth="1"/>
    <col min="4" max="4" width="15.6640625" customWidth="1"/>
    <col min="5" max="5" width="16.5546875" customWidth="1"/>
    <col min="6" max="6" width="18.5546875" customWidth="1"/>
    <col min="7" max="7" width="14.44140625" customWidth="1"/>
    <col min="8" max="8" width="14.6640625" customWidth="1"/>
    <col min="9" max="9" width="19.6640625" customWidth="1"/>
    <col min="10" max="10" width="13.33203125" customWidth="1"/>
  </cols>
  <sheetData>
    <row r="1" spans="1:10" ht="15" x14ac:dyDescent="0.3">
      <c r="A1" s="1"/>
      <c r="B1" s="1"/>
      <c r="C1" s="1"/>
      <c r="D1" s="1"/>
      <c r="E1" s="1"/>
      <c r="F1" s="7"/>
      <c r="G1" s="8"/>
      <c r="H1" s="9"/>
      <c r="I1" s="8"/>
      <c r="J1" s="8"/>
    </row>
    <row r="2" spans="1:10" ht="15.6" x14ac:dyDescent="0.3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6" x14ac:dyDescent="0.3">
      <c r="A3" s="112" t="s">
        <v>450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5.6" x14ac:dyDescent="0.3">
      <c r="A4" s="113" t="s">
        <v>98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6.2" thickBot="1" x14ac:dyDescent="0.35">
      <c r="A5" s="2"/>
      <c r="B5" s="2"/>
      <c r="C5" s="2"/>
      <c r="D5" s="2"/>
      <c r="E5" s="2"/>
      <c r="F5" s="2"/>
      <c r="G5" s="2"/>
      <c r="H5" s="2"/>
      <c r="I5" s="2"/>
      <c r="J5" s="10"/>
    </row>
    <row r="6" spans="1:10" ht="15.6" x14ac:dyDescent="0.3">
      <c r="A6" s="114" t="s">
        <v>1</v>
      </c>
      <c r="B6" s="116" t="s">
        <v>2</v>
      </c>
      <c r="C6" s="117"/>
      <c r="D6" s="118" t="s">
        <v>3</v>
      </c>
      <c r="E6" s="118" t="s">
        <v>4</v>
      </c>
      <c r="F6" s="120" t="s">
        <v>5</v>
      </c>
      <c r="G6" s="121"/>
      <c r="H6" s="122" t="s">
        <v>6</v>
      </c>
      <c r="I6" s="124" t="s">
        <v>7</v>
      </c>
      <c r="J6" s="125"/>
    </row>
    <row r="7" spans="1:10" ht="31.8" thickBot="1" x14ac:dyDescent="0.35">
      <c r="A7" s="115"/>
      <c r="B7" s="3" t="s">
        <v>8</v>
      </c>
      <c r="C7" s="3" t="s">
        <v>9</v>
      </c>
      <c r="D7" s="119"/>
      <c r="E7" s="119"/>
      <c r="F7" s="4" t="s">
        <v>10</v>
      </c>
      <c r="G7" s="5" t="s">
        <v>11</v>
      </c>
      <c r="H7" s="123"/>
      <c r="I7" s="4" t="s">
        <v>10</v>
      </c>
      <c r="J7" s="11" t="s">
        <v>11</v>
      </c>
    </row>
    <row r="8" spans="1:10" ht="16.2" thickBot="1" x14ac:dyDescent="0.35">
      <c r="A8" s="130" t="s">
        <v>12</v>
      </c>
      <c r="B8" s="131"/>
      <c r="C8" s="131"/>
      <c r="D8" s="131"/>
      <c r="E8" s="131"/>
      <c r="F8" s="131"/>
      <c r="G8" s="131"/>
      <c r="H8" s="131"/>
      <c r="I8" s="131"/>
      <c r="J8" s="132"/>
    </row>
    <row r="9" spans="1:10" x14ac:dyDescent="0.3">
      <c r="A9" s="126" t="s">
        <v>56</v>
      </c>
      <c r="B9" s="128" t="s">
        <v>99</v>
      </c>
      <c r="C9" s="128" t="s">
        <v>100</v>
      </c>
      <c r="D9" s="129">
        <v>1200.3724</v>
      </c>
      <c r="E9" s="129">
        <f>G9</f>
        <v>1200.3724</v>
      </c>
      <c r="F9" s="128" t="s">
        <v>101</v>
      </c>
      <c r="G9" s="129">
        <v>1200.3724</v>
      </c>
      <c r="H9" s="129"/>
      <c r="I9" s="128"/>
      <c r="J9" s="136"/>
    </row>
    <row r="10" spans="1:10" x14ac:dyDescent="0.3">
      <c r="A10" s="133"/>
      <c r="B10" s="134"/>
      <c r="C10" s="134"/>
      <c r="D10" s="135"/>
      <c r="E10" s="135"/>
      <c r="F10" s="134"/>
      <c r="G10" s="135"/>
      <c r="H10" s="134"/>
      <c r="I10" s="134"/>
      <c r="J10" s="137"/>
    </row>
    <row r="11" spans="1:10" ht="27.6" x14ac:dyDescent="0.3">
      <c r="A11" s="133"/>
      <c r="B11" s="12" t="s">
        <v>102</v>
      </c>
      <c r="C11" s="12" t="s">
        <v>103</v>
      </c>
      <c r="D11" s="13">
        <v>2073.1010799999999</v>
      </c>
      <c r="E11" s="13">
        <f>G11</f>
        <v>834.95970999999997</v>
      </c>
      <c r="F11" s="12" t="s">
        <v>104</v>
      </c>
      <c r="G11" s="13">
        <v>834.95970999999997</v>
      </c>
      <c r="H11" s="12"/>
      <c r="I11" s="12"/>
      <c r="J11" s="14"/>
    </row>
    <row r="12" spans="1:10" ht="27.6" x14ac:dyDescent="0.3">
      <c r="A12" s="133"/>
      <c r="B12" s="145" t="s">
        <v>105</v>
      </c>
      <c r="C12" s="145" t="s">
        <v>106</v>
      </c>
      <c r="D12" s="143">
        <v>9507.6667699999998</v>
      </c>
      <c r="E12" s="143">
        <f>1356.59</f>
        <v>1356.59</v>
      </c>
      <c r="F12" s="145" t="s">
        <v>107</v>
      </c>
      <c r="G12" s="143">
        <v>1356.58763</v>
      </c>
      <c r="H12" s="135">
        <f>J12+J42+J14+J13</f>
        <v>752.18586699999992</v>
      </c>
      <c r="I12" s="12" t="s">
        <v>108</v>
      </c>
      <c r="J12" s="14">
        <f>313591.18*1.18/1000</f>
        <v>370.03759239999994</v>
      </c>
    </row>
    <row r="13" spans="1:10" ht="27.6" x14ac:dyDescent="0.3">
      <c r="A13" s="133"/>
      <c r="B13" s="140"/>
      <c r="C13" s="140"/>
      <c r="D13" s="144"/>
      <c r="E13" s="144"/>
      <c r="F13" s="140"/>
      <c r="G13" s="144"/>
      <c r="H13" s="135"/>
      <c r="I13" s="12" t="s">
        <v>109</v>
      </c>
      <c r="J13" s="14">
        <f>181411.07*1.18/1000</f>
        <v>214.0650626</v>
      </c>
    </row>
    <row r="14" spans="1:10" ht="27.6" x14ac:dyDescent="0.3">
      <c r="A14" s="133"/>
      <c r="B14" s="140"/>
      <c r="C14" s="140"/>
      <c r="D14" s="144"/>
      <c r="E14" s="144"/>
      <c r="F14" s="140"/>
      <c r="G14" s="144"/>
      <c r="H14" s="135"/>
      <c r="I14" s="12" t="s">
        <v>110</v>
      </c>
      <c r="J14" s="14">
        <f>134930.15*1.18/1000</f>
        <v>159.21757699999998</v>
      </c>
    </row>
    <row r="15" spans="1:10" ht="27.6" x14ac:dyDescent="0.3">
      <c r="A15" s="133"/>
      <c r="B15" s="140"/>
      <c r="C15" s="140"/>
      <c r="D15" s="144"/>
      <c r="E15" s="13">
        <f>G15</f>
        <v>370.03759000000002</v>
      </c>
      <c r="F15" s="54" t="s">
        <v>111</v>
      </c>
      <c r="G15" s="48">
        <f>370037.59/1000</f>
        <v>370.03759000000002</v>
      </c>
      <c r="H15" s="13">
        <f>J15</f>
        <v>235.94771419999998</v>
      </c>
      <c r="I15" s="12" t="s">
        <v>112</v>
      </c>
      <c r="J15" s="14">
        <f>199955.69*1.18/1000</f>
        <v>235.94771419999998</v>
      </c>
    </row>
    <row r="16" spans="1:10" ht="27.6" x14ac:dyDescent="0.3">
      <c r="A16" s="133"/>
      <c r="B16" s="140"/>
      <c r="C16" s="140"/>
      <c r="D16" s="144"/>
      <c r="E16" s="13">
        <f>G16</f>
        <v>214.06505999999999</v>
      </c>
      <c r="F16" s="54" t="s">
        <v>113</v>
      </c>
      <c r="G16" s="48">
        <f>214065.06/1000</f>
        <v>214.06505999999999</v>
      </c>
      <c r="H16" s="13">
        <f>J16</f>
        <v>688.41230680000001</v>
      </c>
      <c r="I16" s="12" t="s">
        <v>114</v>
      </c>
      <c r="J16" s="14">
        <f>583400.26*1.18/1000</f>
        <v>688.41230680000001</v>
      </c>
    </row>
    <row r="17" spans="1:10" ht="27.6" x14ac:dyDescent="0.3">
      <c r="A17" s="133"/>
      <c r="B17" s="140"/>
      <c r="C17" s="140"/>
      <c r="D17" s="144"/>
      <c r="E17" s="13">
        <f>G17</f>
        <v>159.21758</v>
      </c>
      <c r="F17" s="54" t="s">
        <v>115</v>
      </c>
      <c r="G17" s="48">
        <f>159217.58/1000</f>
        <v>159.21758</v>
      </c>
      <c r="H17" s="13">
        <f>J17</f>
        <v>254.49025779999997</v>
      </c>
      <c r="I17" s="12" t="s">
        <v>116</v>
      </c>
      <c r="J17" s="14">
        <f>215669.71*1.18/1000</f>
        <v>254.49025779999997</v>
      </c>
    </row>
    <row r="18" spans="1:10" ht="27.6" x14ac:dyDescent="0.3">
      <c r="A18" s="133"/>
      <c r="B18" s="140"/>
      <c r="C18" s="140"/>
      <c r="D18" s="144"/>
      <c r="E18" s="48"/>
      <c r="F18" s="54"/>
      <c r="G18" s="48"/>
      <c r="H18" s="13">
        <f>J18</f>
        <v>488.21869879999997</v>
      </c>
      <c r="I18" s="12" t="s">
        <v>116</v>
      </c>
      <c r="J18" s="14">
        <f>413744.66*1.18/1000</f>
        <v>488.21869879999997</v>
      </c>
    </row>
    <row r="19" spans="1:10" ht="27.6" x14ac:dyDescent="0.3">
      <c r="A19" s="133"/>
      <c r="B19" s="138"/>
      <c r="C19" s="138"/>
      <c r="D19" s="139"/>
      <c r="E19" s="32"/>
      <c r="F19" s="54"/>
      <c r="G19" s="48"/>
      <c r="H19" s="13">
        <f>J19</f>
        <v>192.51360159999999</v>
      </c>
      <c r="I19" s="12" t="s">
        <v>117</v>
      </c>
      <c r="J19" s="14">
        <f>163147.12*1.18/1000</f>
        <v>192.51360159999999</v>
      </c>
    </row>
    <row r="20" spans="1:10" ht="41.4" x14ac:dyDescent="0.3">
      <c r="A20" s="133"/>
      <c r="B20" s="134" t="s">
        <v>105</v>
      </c>
      <c r="C20" s="134" t="s">
        <v>118</v>
      </c>
      <c r="D20" s="135">
        <v>14899.80466</v>
      </c>
      <c r="E20" s="143">
        <f>G20+G21+G22+G23</f>
        <v>10429.86328</v>
      </c>
      <c r="F20" s="12" t="s">
        <v>119</v>
      </c>
      <c r="G20" s="13">
        <f>2607465.82/1000</f>
        <v>2607.4658199999999</v>
      </c>
      <c r="H20" s="13">
        <f t="shared" ref="H20:H32" si="0">J20</f>
        <v>3724.9511704000001</v>
      </c>
      <c r="I20" s="12" t="s">
        <v>120</v>
      </c>
      <c r="J20" s="14">
        <f>3724951.1704/1000</f>
        <v>3724.9511704000001</v>
      </c>
    </row>
    <row r="21" spans="1:10" ht="41.4" x14ac:dyDescent="0.3">
      <c r="A21" s="133"/>
      <c r="B21" s="134"/>
      <c r="C21" s="134"/>
      <c r="D21" s="135"/>
      <c r="E21" s="144"/>
      <c r="F21" s="12" t="s">
        <v>121</v>
      </c>
      <c r="G21" s="13">
        <f>2607465.82/1000</f>
        <v>2607.4658199999999</v>
      </c>
      <c r="H21" s="13">
        <f t="shared" si="0"/>
        <v>3724.9511704000001</v>
      </c>
      <c r="I21" s="12" t="s">
        <v>122</v>
      </c>
      <c r="J21" s="14">
        <f>3724951.1704/1000</f>
        <v>3724.9511704000001</v>
      </c>
    </row>
    <row r="22" spans="1:10" ht="41.4" x14ac:dyDescent="0.3">
      <c r="A22" s="133"/>
      <c r="B22" s="134"/>
      <c r="C22" s="134"/>
      <c r="D22" s="135"/>
      <c r="E22" s="144"/>
      <c r="F22" s="12" t="s">
        <v>123</v>
      </c>
      <c r="G22" s="13">
        <f>2607465.82/1000</f>
        <v>2607.4658199999999</v>
      </c>
      <c r="H22" s="13">
        <f t="shared" si="0"/>
        <v>3724.9511703999997</v>
      </c>
      <c r="I22" s="12" t="s">
        <v>124</v>
      </c>
      <c r="J22" s="14">
        <f>3156738.28*1.18/1000</f>
        <v>3724.9511703999997</v>
      </c>
    </row>
    <row r="23" spans="1:10" ht="41.4" x14ac:dyDescent="0.3">
      <c r="A23" s="133"/>
      <c r="B23" s="134"/>
      <c r="C23" s="134"/>
      <c r="D23" s="135"/>
      <c r="E23" s="139"/>
      <c r="F23" s="12" t="s">
        <v>125</v>
      </c>
      <c r="G23" s="13">
        <v>2607.4658199999999</v>
      </c>
      <c r="H23" s="13">
        <f>J23</f>
        <v>3724.9511585999999</v>
      </c>
      <c r="I23" s="12" t="s">
        <v>126</v>
      </c>
      <c r="J23" s="14">
        <f>3156738.27*1.18/1000</f>
        <v>3724.9511585999999</v>
      </c>
    </row>
    <row r="24" spans="1:10" ht="27.6" x14ac:dyDescent="0.3">
      <c r="A24" s="133"/>
      <c r="B24" s="145" t="s">
        <v>59</v>
      </c>
      <c r="C24" s="145" t="s">
        <v>60</v>
      </c>
      <c r="D24" s="143"/>
      <c r="E24" s="13">
        <f t="shared" ref="E24:E29" si="1">G24</f>
        <v>37.249508399999996</v>
      </c>
      <c r="F24" s="13" t="s">
        <v>127</v>
      </c>
      <c r="G24" s="13">
        <f>31567.38*1.18/1000</f>
        <v>37.249508399999996</v>
      </c>
      <c r="H24" s="13">
        <f t="shared" si="0"/>
        <v>18.624754199999998</v>
      </c>
      <c r="I24" s="12" t="s">
        <v>128</v>
      </c>
      <c r="J24" s="14">
        <f>18624.7542/1000</f>
        <v>18.624754199999998</v>
      </c>
    </row>
    <row r="25" spans="1:10" ht="27.6" x14ac:dyDescent="0.3">
      <c r="A25" s="133"/>
      <c r="B25" s="140"/>
      <c r="C25" s="140"/>
      <c r="D25" s="144"/>
      <c r="E25" s="13">
        <f t="shared" si="1"/>
        <v>15.736421</v>
      </c>
      <c r="F25" s="12" t="s">
        <v>127</v>
      </c>
      <c r="G25" s="13">
        <f>13335.95*1.18/1000</f>
        <v>15.736421</v>
      </c>
      <c r="H25" s="13">
        <f t="shared" si="0"/>
        <v>18.624754199999998</v>
      </c>
      <c r="I25" s="12" t="s">
        <v>129</v>
      </c>
      <c r="J25" s="14">
        <f>15783.69*1.18/1000</f>
        <v>18.624754199999998</v>
      </c>
    </row>
    <row r="26" spans="1:10" ht="27.6" x14ac:dyDescent="0.3">
      <c r="A26" s="133"/>
      <c r="B26" s="140"/>
      <c r="C26" s="140"/>
      <c r="D26" s="144"/>
      <c r="E26" s="13">
        <f t="shared" si="1"/>
        <v>323.2833728</v>
      </c>
      <c r="F26" s="12"/>
      <c r="G26" s="13">
        <f>273968.96*1.18/1000</f>
        <v>323.2833728</v>
      </c>
      <c r="H26" s="13">
        <f t="shared" si="0"/>
        <v>15.736421</v>
      </c>
      <c r="I26" s="12" t="s">
        <v>130</v>
      </c>
      <c r="J26" s="14">
        <f>13335.95*1.18/1000</f>
        <v>15.736421</v>
      </c>
    </row>
    <row r="27" spans="1:10" x14ac:dyDescent="0.3">
      <c r="A27" s="133"/>
      <c r="B27" s="140"/>
      <c r="C27" s="140"/>
      <c r="D27" s="144"/>
      <c r="E27" s="13">
        <f t="shared" si="1"/>
        <v>1.8469241999999999</v>
      </c>
      <c r="F27" s="12"/>
      <c r="G27" s="13">
        <f>1565.19*1.18/1000</f>
        <v>1.8469241999999999</v>
      </c>
      <c r="H27" s="13">
        <f t="shared" si="0"/>
        <v>18.624754199999998</v>
      </c>
      <c r="I27" s="134" t="s">
        <v>131</v>
      </c>
      <c r="J27" s="14">
        <f>15783.69*1.18/1000</f>
        <v>18.624754199999998</v>
      </c>
    </row>
    <row r="28" spans="1:10" x14ac:dyDescent="0.3">
      <c r="A28" s="133"/>
      <c r="B28" s="140"/>
      <c r="C28" s="140"/>
      <c r="D28" s="144"/>
      <c r="E28" s="13">
        <f t="shared" si="1"/>
        <v>6.7755836</v>
      </c>
      <c r="F28" s="12"/>
      <c r="G28" s="13">
        <f>5742.02*1.18/1000</f>
        <v>6.7755836</v>
      </c>
      <c r="H28" s="13">
        <f t="shared" si="0"/>
        <v>18.624754199999998</v>
      </c>
      <c r="I28" s="134"/>
      <c r="J28" s="14">
        <f>15783.69*1.18/1000</f>
        <v>18.624754199999998</v>
      </c>
    </row>
    <row r="29" spans="1:10" ht="27.6" x14ac:dyDescent="0.3">
      <c r="A29" s="133"/>
      <c r="B29" s="140"/>
      <c r="C29" s="140"/>
      <c r="D29" s="144"/>
      <c r="E29" s="13">
        <f t="shared" si="1"/>
        <v>31.607857599999999</v>
      </c>
      <c r="F29" s="12"/>
      <c r="G29" s="13">
        <f>26786.32*1.18/1000</f>
        <v>31.607857599999999</v>
      </c>
      <c r="H29" s="13">
        <f t="shared" si="0"/>
        <v>6.7755836</v>
      </c>
      <c r="I29" s="12" t="s">
        <v>132</v>
      </c>
      <c r="J29" s="14">
        <f>5742.02*1.18/1000</f>
        <v>6.7755836</v>
      </c>
    </row>
    <row r="30" spans="1:10" ht="27.6" x14ac:dyDescent="0.3">
      <c r="A30" s="133"/>
      <c r="B30" s="140"/>
      <c r="C30" s="140"/>
      <c r="D30" s="144"/>
      <c r="E30" s="13"/>
      <c r="F30" s="12"/>
      <c r="G30" s="13"/>
      <c r="H30" s="13">
        <f t="shared" si="0"/>
        <v>1.8469241999999999</v>
      </c>
      <c r="I30" s="12" t="s">
        <v>133</v>
      </c>
      <c r="J30" s="14">
        <f>1565.19*1.18/1000</f>
        <v>1.8469241999999999</v>
      </c>
    </row>
    <row r="31" spans="1:10" ht="27.6" x14ac:dyDescent="0.3">
      <c r="A31" s="133"/>
      <c r="B31" s="140"/>
      <c r="C31" s="140"/>
      <c r="D31" s="144"/>
      <c r="E31" s="13"/>
      <c r="F31" s="12"/>
      <c r="G31" s="13"/>
      <c r="H31" s="13">
        <f t="shared" si="0"/>
        <v>10.722565599999999</v>
      </c>
      <c r="I31" s="12" t="s">
        <v>134</v>
      </c>
      <c r="J31" s="14">
        <f>9086.92*1.18/1000</f>
        <v>10.722565599999999</v>
      </c>
    </row>
    <row r="32" spans="1:10" ht="27.6" x14ac:dyDescent="0.3">
      <c r="A32" s="133"/>
      <c r="B32" s="138"/>
      <c r="C32" s="138"/>
      <c r="D32" s="139"/>
      <c r="E32" s="13"/>
      <c r="F32" s="12"/>
      <c r="G32" s="13"/>
      <c r="H32" s="13">
        <f t="shared" si="0"/>
        <v>10.848589599999999</v>
      </c>
      <c r="I32" s="12" t="s">
        <v>135</v>
      </c>
      <c r="J32" s="14">
        <f>9193.72*1.18/1000</f>
        <v>10.848589599999999</v>
      </c>
    </row>
    <row r="33" spans="1:10" ht="27.6" x14ac:dyDescent="0.3">
      <c r="A33" s="133"/>
      <c r="B33" s="12" t="s">
        <v>136</v>
      </c>
      <c r="C33" s="12" t="s">
        <v>137</v>
      </c>
      <c r="D33" s="13">
        <v>584.05349999999999</v>
      </c>
      <c r="E33" s="13">
        <v>156.952</v>
      </c>
      <c r="F33" s="12" t="s">
        <v>138</v>
      </c>
      <c r="G33" s="13">
        <f>E33</f>
        <v>156.952</v>
      </c>
      <c r="H33" s="13"/>
      <c r="I33" s="12"/>
      <c r="J33" s="14"/>
    </row>
    <row r="34" spans="1:10" ht="27.6" x14ac:dyDescent="0.3">
      <c r="A34" s="133"/>
      <c r="B34" s="12" t="s">
        <v>139</v>
      </c>
      <c r="C34" s="12" t="s">
        <v>140</v>
      </c>
      <c r="D34" s="13">
        <f>2324166.84/1000</f>
        <v>2324.1668399999999</v>
      </c>
      <c r="E34" s="13">
        <v>490.08078</v>
      </c>
      <c r="F34" s="12" t="s">
        <v>141</v>
      </c>
      <c r="G34" s="13">
        <f>490080.78/1000</f>
        <v>490.08078</v>
      </c>
      <c r="H34" s="13"/>
      <c r="I34" s="12"/>
      <c r="J34" s="14"/>
    </row>
    <row r="35" spans="1:10" ht="27.6" x14ac:dyDescent="0.3">
      <c r="A35" s="133"/>
      <c r="B35" s="12" t="s">
        <v>142</v>
      </c>
      <c r="C35" s="12" t="s">
        <v>143</v>
      </c>
      <c r="D35" s="13">
        <f>1477826.08/1000</f>
        <v>1477.82608</v>
      </c>
      <c r="E35" s="13">
        <f t="shared" ref="E35:E40" si="2">G35</f>
        <v>20.189400000000003</v>
      </c>
      <c r="F35" s="12" t="s">
        <v>144</v>
      </c>
      <c r="G35" s="13">
        <f>20189.4/1000</f>
        <v>20.189400000000003</v>
      </c>
      <c r="H35" s="13"/>
      <c r="I35" s="12"/>
      <c r="J35" s="14"/>
    </row>
    <row r="36" spans="1:10" ht="27.6" x14ac:dyDescent="0.3">
      <c r="A36" s="133"/>
      <c r="B36" s="12" t="s">
        <v>73</v>
      </c>
      <c r="C36" s="12" t="s">
        <v>145</v>
      </c>
      <c r="D36" s="13">
        <f>1002233.7/1000</f>
        <v>1002.2337</v>
      </c>
      <c r="E36" s="13">
        <f t="shared" si="2"/>
        <v>367.97669999999999</v>
      </c>
      <c r="F36" s="12" t="s">
        <v>146</v>
      </c>
      <c r="G36" s="13">
        <f>367976.7/1000</f>
        <v>367.97669999999999</v>
      </c>
      <c r="H36" s="13"/>
      <c r="I36" s="12"/>
      <c r="J36" s="14"/>
    </row>
    <row r="37" spans="1:10" ht="27.6" x14ac:dyDescent="0.3">
      <c r="A37" s="133"/>
      <c r="B37" s="12" t="s">
        <v>28</v>
      </c>
      <c r="C37" s="12" t="s">
        <v>147</v>
      </c>
      <c r="D37" s="13">
        <f>1399610.43/1000</f>
        <v>1399.61043</v>
      </c>
      <c r="E37" s="13">
        <f t="shared" si="2"/>
        <v>27.608150000000002</v>
      </c>
      <c r="F37" s="12" t="s">
        <v>148</v>
      </c>
      <c r="G37" s="13">
        <f>27608.15/1000</f>
        <v>27.608150000000002</v>
      </c>
      <c r="H37" s="13"/>
      <c r="I37" s="12"/>
      <c r="J37" s="14"/>
    </row>
    <row r="38" spans="1:10" ht="27.6" x14ac:dyDescent="0.3">
      <c r="A38" s="133"/>
      <c r="B38" s="12" t="s">
        <v>149</v>
      </c>
      <c r="C38" s="12" t="s">
        <v>150</v>
      </c>
      <c r="D38" s="13">
        <f>437874.4/1000</f>
        <v>437.87440000000004</v>
      </c>
      <c r="E38" s="13">
        <f t="shared" si="2"/>
        <v>84.38888</v>
      </c>
      <c r="F38" s="12" t="s">
        <v>151</v>
      </c>
      <c r="G38" s="13">
        <f>84388.88/1000</f>
        <v>84.38888</v>
      </c>
      <c r="H38" s="13"/>
      <c r="I38" s="12"/>
      <c r="J38" s="14"/>
    </row>
    <row r="39" spans="1:10" ht="27.6" x14ac:dyDescent="0.3">
      <c r="A39" s="133"/>
      <c r="B39" s="28" t="s">
        <v>142</v>
      </c>
      <c r="C39" s="12" t="s">
        <v>152</v>
      </c>
      <c r="D39" s="13">
        <v>976.03217000000006</v>
      </c>
      <c r="E39" s="13">
        <f t="shared" si="2"/>
        <v>59.004940000000005</v>
      </c>
      <c r="F39" s="12" t="s">
        <v>153</v>
      </c>
      <c r="G39" s="13">
        <f>59004.94/1000</f>
        <v>59.004940000000005</v>
      </c>
      <c r="H39" s="13"/>
      <c r="I39" s="12"/>
      <c r="J39" s="14"/>
    </row>
    <row r="40" spans="1:10" ht="27.6" x14ac:dyDescent="0.3">
      <c r="A40" s="133"/>
      <c r="B40" s="28" t="s">
        <v>136</v>
      </c>
      <c r="C40" s="12" t="s">
        <v>137</v>
      </c>
      <c r="D40" s="13">
        <v>584.05349999999999</v>
      </c>
      <c r="E40" s="13">
        <f t="shared" si="2"/>
        <v>21.621299999999998</v>
      </c>
      <c r="F40" s="12" t="s">
        <v>154</v>
      </c>
      <c r="G40" s="13">
        <f>21621.3/1000</f>
        <v>21.621299999999998</v>
      </c>
      <c r="H40" s="13"/>
      <c r="I40" s="12"/>
      <c r="J40" s="14"/>
    </row>
    <row r="41" spans="1:10" ht="55.2" x14ac:dyDescent="0.3">
      <c r="A41" s="133"/>
      <c r="B41" s="134" t="s">
        <v>155</v>
      </c>
      <c r="C41" s="134"/>
      <c r="D41" s="134"/>
      <c r="E41" s="13"/>
      <c r="F41" s="27"/>
      <c r="G41" s="13"/>
      <c r="H41" s="13">
        <f>J41</f>
        <v>591.16215839999995</v>
      </c>
      <c r="I41" s="27" t="s">
        <v>156</v>
      </c>
      <c r="J41" s="14">
        <f>500984.88*1.18/1000</f>
        <v>591.16215839999995</v>
      </c>
    </row>
    <row r="42" spans="1:10" ht="55.2" x14ac:dyDescent="0.3">
      <c r="A42" s="133"/>
      <c r="B42" s="134" t="s">
        <v>157</v>
      </c>
      <c r="C42" s="134"/>
      <c r="D42" s="134"/>
      <c r="E42" s="13"/>
      <c r="F42" s="27"/>
      <c r="G42" s="13"/>
      <c r="H42" s="13"/>
      <c r="I42" s="12" t="s">
        <v>158</v>
      </c>
      <c r="J42" s="14">
        <f>7513.25*1.18/1000</f>
        <v>8.865635000000001</v>
      </c>
    </row>
    <row r="43" spans="1:10" ht="55.2" x14ac:dyDescent="0.3">
      <c r="A43" s="133"/>
      <c r="B43" s="148" t="s">
        <v>159</v>
      </c>
      <c r="C43" s="148"/>
      <c r="D43" s="27"/>
      <c r="E43" s="13"/>
      <c r="F43" s="27"/>
      <c r="G43" s="13"/>
      <c r="H43" s="13">
        <f>J43</f>
        <v>3200.8753041999998</v>
      </c>
      <c r="I43" s="27" t="s">
        <v>160</v>
      </c>
      <c r="J43" s="14">
        <f>2712606.19*1.18/1000</f>
        <v>3200.8753041999998</v>
      </c>
    </row>
    <row r="44" spans="1:10" ht="55.2" x14ac:dyDescent="0.3">
      <c r="A44" s="133"/>
      <c r="B44" s="148" t="s">
        <v>161</v>
      </c>
      <c r="C44" s="148"/>
      <c r="D44" s="27"/>
      <c r="E44" s="13"/>
      <c r="F44" s="27"/>
      <c r="G44" s="13"/>
      <c r="H44" s="13">
        <f>J44</f>
        <v>1826.5169023999997</v>
      </c>
      <c r="I44" s="27" t="s">
        <v>162</v>
      </c>
      <c r="J44" s="14">
        <f>1547895.68*1.18/1000</f>
        <v>1826.5169023999997</v>
      </c>
    </row>
    <row r="45" spans="1:10" x14ac:dyDescent="0.3">
      <c r="A45" s="133"/>
      <c r="B45" s="148" t="s">
        <v>163</v>
      </c>
      <c r="C45" s="148"/>
      <c r="D45" s="27" t="s">
        <v>13</v>
      </c>
      <c r="E45" s="13">
        <f>349.83/1000</f>
        <v>0.34982999999999997</v>
      </c>
      <c r="F45" s="13" t="s">
        <v>13</v>
      </c>
      <c r="G45" s="13">
        <f t="shared" ref="G45:G97" si="3">E45</f>
        <v>0.34982999999999997</v>
      </c>
      <c r="H45" s="13">
        <f>349.83/1000</f>
        <v>0.34982999999999997</v>
      </c>
      <c r="I45" s="13" t="s">
        <v>13</v>
      </c>
      <c r="J45" s="14">
        <f>H45</f>
        <v>0.34982999999999997</v>
      </c>
    </row>
    <row r="46" spans="1:10" x14ac:dyDescent="0.3">
      <c r="A46" s="165"/>
      <c r="B46" s="148" t="s">
        <v>164</v>
      </c>
      <c r="C46" s="148"/>
      <c r="D46" s="27" t="s">
        <v>13</v>
      </c>
      <c r="E46" s="13">
        <v>10.844659999999999</v>
      </c>
      <c r="F46" s="13" t="s">
        <v>13</v>
      </c>
      <c r="G46" s="13">
        <f t="shared" si="3"/>
        <v>10.844659999999999</v>
      </c>
      <c r="H46" s="13">
        <v>10.844659999999999</v>
      </c>
      <c r="I46" s="13" t="s">
        <v>13</v>
      </c>
      <c r="J46" s="14">
        <f t="shared" ref="J46:J47" si="4">H46</f>
        <v>10.844659999999999</v>
      </c>
    </row>
    <row r="47" spans="1:10" x14ac:dyDescent="0.3">
      <c r="A47" s="165"/>
      <c r="B47" s="148" t="s">
        <v>165</v>
      </c>
      <c r="C47" s="148"/>
      <c r="D47" s="27" t="s">
        <v>13</v>
      </c>
      <c r="E47" s="13">
        <f>10494.84/1000</f>
        <v>10.49484</v>
      </c>
      <c r="F47" s="13" t="s">
        <v>13</v>
      </c>
      <c r="G47" s="13">
        <f t="shared" si="3"/>
        <v>10.49484</v>
      </c>
      <c r="H47" s="13">
        <f>10494.84/1000</f>
        <v>10.49484</v>
      </c>
      <c r="I47" s="13" t="s">
        <v>13</v>
      </c>
      <c r="J47" s="14">
        <f t="shared" si="4"/>
        <v>10.49484</v>
      </c>
    </row>
    <row r="48" spans="1:10" x14ac:dyDescent="0.3">
      <c r="A48" s="165"/>
      <c r="B48" s="148" t="s">
        <v>166</v>
      </c>
      <c r="C48" s="148"/>
      <c r="D48" s="27"/>
      <c r="E48" s="13">
        <f>G48</f>
        <v>10.844659999999999</v>
      </c>
      <c r="F48" s="13"/>
      <c r="G48" s="13">
        <f>10844.66/1000</f>
        <v>10.844659999999999</v>
      </c>
      <c r="H48" s="13">
        <f>J48</f>
        <v>10.844659999999999</v>
      </c>
      <c r="I48" s="13"/>
      <c r="J48" s="14">
        <f>10844.66/1000</f>
        <v>10.844659999999999</v>
      </c>
    </row>
    <row r="49" spans="1:10" ht="15" thickBot="1" x14ac:dyDescent="0.35">
      <c r="A49" s="127"/>
      <c r="B49" s="178" t="s">
        <v>167</v>
      </c>
      <c r="C49" s="178"/>
      <c r="D49" s="39"/>
      <c r="E49" s="38">
        <f>G49</f>
        <v>10.49484</v>
      </c>
      <c r="F49" s="38"/>
      <c r="G49" s="38">
        <f>10494.84/1000</f>
        <v>10.49484</v>
      </c>
      <c r="H49" s="38">
        <f>J49</f>
        <v>10.49484</v>
      </c>
      <c r="I49" s="38"/>
      <c r="J49" s="40">
        <f>10494.84/1000</f>
        <v>10.49484</v>
      </c>
    </row>
    <row r="50" spans="1:10" ht="27.6" x14ac:dyDescent="0.3">
      <c r="A50" s="126" t="s">
        <v>58</v>
      </c>
      <c r="B50" s="35" t="s">
        <v>28</v>
      </c>
      <c r="C50" s="35" t="s">
        <v>57</v>
      </c>
      <c r="D50" s="20">
        <f t="shared" ref="D50" si="5">8817712.56/1000</f>
        <v>8817.7125599999999</v>
      </c>
      <c r="E50" s="20">
        <f>G50</f>
        <v>4397.2747200000003</v>
      </c>
      <c r="F50" s="35" t="s">
        <v>168</v>
      </c>
      <c r="G50" s="20">
        <v>4397.2747200000003</v>
      </c>
      <c r="H50" s="20"/>
      <c r="I50" s="35"/>
      <c r="J50" s="21"/>
    </row>
    <row r="51" spans="1:10" ht="27.6" x14ac:dyDescent="0.3">
      <c r="A51" s="133"/>
      <c r="B51" s="12" t="s">
        <v>102</v>
      </c>
      <c r="C51" s="12" t="s">
        <v>103</v>
      </c>
      <c r="D51" s="13">
        <v>2073.1010799999999</v>
      </c>
      <c r="E51" s="13">
        <v>1238.0420899999999</v>
      </c>
      <c r="F51" s="12" t="s">
        <v>169</v>
      </c>
      <c r="G51" s="13">
        <f t="shared" si="3"/>
        <v>1238.0420899999999</v>
      </c>
      <c r="H51" s="13"/>
      <c r="I51" s="12"/>
      <c r="J51" s="14"/>
    </row>
    <row r="52" spans="1:10" ht="27.6" x14ac:dyDescent="0.3">
      <c r="A52" s="133"/>
      <c r="B52" s="12" t="s">
        <v>170</v>
      </c>
      <c r="C52" s="12" t="s">
        <v>171</v>
      </c>
      <c r="D52" s="13">
        <v>555.48947999999996</v>
      </c>
      <c r="E52" s="13">
        <v>512.75951999999995</v>
      </c>
      <c r="F52" s="12" t="s">
        <v>172</v>
      </c>
      <c r="G52" s="13">
        <f t="shared" si="3"/>
        <v>512.75951999999995</v>
      </c>
      <c r="H52" s="13"/>
      <c r="I52" s="12"/>
      <c r="J52" s="14"/>
    </row>
    <row r="53" spans="1:10" ht="27.6" x14ac:dyDescent="0.3">
      <c r="A53" s="133"/>
      <c r="B53" s="145" t="s">
        <v>136</v>
      </c>
      <c r="C53" s="145" t="s">
        <v>137</v>
      </c>
      <c r="D53" s="143">
        <v>584.05349999999999</v>
      </c>
      <c r="E53" s="13">
        <v>294.11799999999999</v>
      </c>
      <c r="F53" s="12" t="s">
        <v>173</v>
      </c>
      <c r="G53" s="13">
        <f>E53</f>
        <v>294.11799999999999</v>
      </c>
      <c r="H53" s="13"/>
      <c r="I53" s="12"/>
      <c r="J53" s="14"/>
    </row>
    <row r="54" spans="1:10" ht="27.6" x14ac:dyDescent="0.3">
      <c r="A54" s="133"/>
      <c r="B54" s="140"/>
      <c r="C54" s="140"/>
      <c r="D54" s="144"/>
      <c r="E54" s="13">
        <f>G54</f>
        <v>16.928000000000001</v>
      </c>
      <c r="F54" s="12" t="s">
        <v>174</v>
      </c>
      <c r="G54" s="13">
        <f>1412.5/1000+15515.5/1000</f>
        <v>16.928000000000001</v>
      </c>
      <c r="H54" s="29"/>
      <c r="I54" s="12"/>
      <c r="J54" s="14"/>
    </row>
    <row r="55" spans="1:10" ht="27.6" x14ac:dyDescent="0.3">
      <c r="A55" s="133"/>
      <c r="B55" s="140"/>
      <c r="C55" s="140"/>
      <c r="D55" s="144"/>
      <c r="E55" s="13">
        <f>G55</f>
        <v>29.158200000000001</v>
      </c>
      <c r="F55" s="12" t="s">
        <v>175</v>
      </c>
      <c r="G55" s="13">
        <f>29158.2/1000</f>
        <v>29.158200000000001</v>
      </c>
      <c r="H55" s="29"/>
      <c r="I55" s="12"/>
      <c r="J55" s="14"/>
    </row>
    <row r="56" spans="1:10" ht="27.6" x14ac:dyDescent="0.3">
      <c r="A56" s="133"/>
      <c r="B56" s="145" t="s">
        <v>105</v>
      </c>
      <c r="C56" s="145" t="s">
        <v>176</v>
      </c>
      <c r="D56" s="143">
        <f>12567790.39/1000</f>
        <v>12567.79039</v>
      </c>
      <c r="E56" s="13">
        <f>G56</f>
        <v>637.56343000000004</v>
      </c>
      <c r="F56" s="12" t="s">
        <v>177</v>
      </c>
      <c r="G56" s="13">
        <f>637563.43/1000</f>
        <v>637.56343000000004</v>
      </c>
      <c r="H56" s="143">
        <f>SUM(J56:J61)</f>
        <v>4670.3769644000004</v>
      </c>
      <c r="I56" s="12" t="s">
        <v>178</v>
      </c>
      <c r="J56" s="14">
        <f>2098467.77*1.18/1000</f>
        <v>2476.1919685999997</v>
      </c>
    </row>
    <row r="57" spans="1:10" ht="27.6" x14ac:dyDescent="0.3">
      <c r="A57" s="133"/>
      <c r="B57" s="140"/>
      <c r="C57" s="140"/>
      <c r="D57" s="144"/>
      <c r="E57" s="13">
        <f>G57</f>
        <v>318.57059000000004</v>
      </c>
      <c r="F57" s="12" t="s">
        <v>179</v>
      </c>
      <c r="G57" s="13">
        <f>318570.59/1000</f>
        <v>318.57059000000004</v>
      </c>
      <c r="H57" s="144"/>
      <c r="I57" s="12" t="s">
        <v>180</v>
      </c>
      <c r="J57" s="14">
        <f>(44995.85*6*1.18)/1000</f>
        <v>318.57061799999997</v>
      </c>
    </row>
    <row r="58" spans="1:10" ht="27.6" x14ac:dyDescent="0.3">
      <c r="A58" s="133"/>
      <c r="B58" s="140"/>
      <c r="C58" s="140"/>
      <c r="D58" s="144"/>
      <c r="E58" s="13"/>
      <c r="F58" s="12"/>
      <c r="G58" s="13"/>
      <c r="H58" s="144"/>
      <c r="I58" s="12" t="s">
        <v>181</v>
      </c>
      <c r="J58" s="14">
        <f>540307.99*1.18/1000</f>
        <v>637.56342819999998</v>
      </c>
    </row>
    <row r="59" spans="1:10" ht="27.6" x14ac:dyDescent="0.3">
      <c r="A59" s="133"/>
      <c r="B59" s="140"/>
      <c r="C59" s="140"/>
      <c r="D59" s="144"/>
      <c r="E59" s="13"/>
      <c r="F59" s="12"/>
      <c r="G59" s="13"/>
      <c r="H59" s="144"/>
      <c r="I59" s="12" t="s">
        <v>182</v>
      </c>
      <c r="J59" s="14">
        <f>543270.43*1.18/1000</f>
        <v>641.05910740000002</v>
      </c>
    </row>
    <row r="60" spans="1:10" ht="27.6" x14ac:dyDescent="0.3">
      <c r="A60" s="133"/>
      <c r="B60" s="140"/>
      <c r="C60" s="140"/>
      <c r="D60" s="144"/>
      <c r="E60" s="13"/>
      <c r="F60" s="12"/>
      <c r="G60" s="13"/>
      <c r="H60" s="144"/>
      <c r="I60" s="12" t="s">
        <v>183</v>
      </c>
      <c r="J60" s="14">
        <f>376186.8674/1000</f>
        <v>376.18686739999998</v>
      </c>
    </row>
    <row r="61" spans="1:10" ht="27.6" x14ac:dyDescent="0.3">
      <c r="A61" s="133"/>
      <c r="B61" s="140"/>
      <c r="C61" s="140"/>
      <c r="D61" s="144"/>
      <c r="E61" s="13"/>
      <c r="F61" s="12"/>
      <c r="G61" s="13"/>
      <c r="H61" s="144"/>
      <c r="I61" s="12" t="s">
        <v>184</v>
      </c>
      <c r="J61" s="14">
        <f>220804.9748/1000</f>
        <v>220.8049748</v>
      </c>
    </row>
    <row r="62" spans="1:10" ht="41.4" x14ac:dyDescent="0.3">
      <c r="A62" s="133"/>
      <c r="B62" s="145" t="s">
        <v>105</v>
      </c>
      <c r="C62" s="145" t="s">
        <v>185</v>
      </c>
      <c r="D62" s="143">
        <v>24657.366180000001</v>
      </c>
      <c r="E62" s="13">
        <f t="shared" ref="E62:E68" si="6">G62</f>
        <v>2876.69272</v>
      </c>
      <c r="F62" s="12" t="s">
        <v>186</v>
      </c>
      <c r="G62" s="13">
        <f>2876692.72/1000</f>
        <v>2876.69272</v>
      </c>
      <c r="H62" s="143">
        <f>J62+J63+J64+J65+J66+J67</f>
        <v>24657.366187199998</v>
      </c>
      <c r="I62" s="12" t="s">
        <v>187</v>
      </c>
      <c r="J62" s="14">
        <f t="shared" ref="J62:J67" si="7">3482678.84*1.18/1000</f>
        <v>4109.5610311999999</v>
      </c>
    </row>
    <row r="63" spans="1:10" ht="41.4" x14ac:dyDescent="0.3">
      <c r="A63" s="133"/>
      <c r="B63" s="140"/>
      <c r="C63" s="140"/>
      <c r="D63" s="144"/>
      <c r="E63" s="13">
        <f t="shared" si="6"/>
        <v>2876.69272</v>
      </c>
      <c r="F63" s="12" t="s">
        <v>188</v>
      </c>
      <c r="G63" s="13">
        <f>2876692.72/1000</f>
        <v>2876.69272</v>
      </c>
      <c r="H63" s="144"/>
      <c r="I63" s="12" t="s">
        <v>189</v>
      </c>
      <c r="J63" s="14">
        <f t="shared" si="7"/>
        <v>4109.5610311999999</v>
      </c>
    </row>
    <row r="64" spans="1:10" ht="41.4" x14ac:dyDescent="0.3">
      <c r="A64" s="133"/>
      <c r="B64" s="140"/>
      <c r="C64" s="140"/>
      <c r="D64" s="144"/>
      <c r="E64" s="13">
        <f t="shared" si="6"/>
        <v>2876.69272</v>
      </c>
      <c r="F64" s="12" t="s">
        <v>190</v>
      </c>
      <c r="G64" s="13">
        <f>2876692.72/1000</f>
        <v>2876.69272</v>
      </c>
      <c r="H64" s="144"/>
      <c r="I64" s="12" t="s">
        <v>191</v>
      </c>
      <c r="J64" s="14">
        <f t="shared" si="7"/>
        <v>4109.5610311999999</v>
      </c>
    </row>
    <row r="65" spans="1:10" ht="41.4" x14ac:dyDescent="0.3">
      <c r="A65" s="133"/>
      <c r="B65" s="140"/>
      <c r="C65" s="140"/>
      <c r="D65" s="144"/>
      <c r="E65" s="13">
        <f t="shared" si="6"/>
        <v>2476.1919700000003</v>
      </c>
      <c r="F65" s="12" t="s">
        <v>192</v>
      </c>
      <c r="G65" s="13">
        <f>2476191.97/1000</f>
        <v>2476.1919700000003</v>
      </c>
      <c r="H65" s="144"/>
      <c r="I65" s="12" t="s">
        <v>193</v>
      </c>
      <c r="J65" s="14">
        <f t="shared" si="7"/>
        <v>4109.5610311999999</v>
      </c>
    </row>
    <row r="66" spans="1:10" ht="41.4" x14ac:dyDescent="0.3">
      <c r="A66" s="133"/>
      <c r="B66" s="140"/>
      <c r="C66" s="140"/>
      <c r="D66" s="144"/>
      <c r="E66" s="13">
        <f t="shared" si="6"/>
        <v>2876.69272</v>
      </c>
      <c r="F66" s="12" t="s">
        <v>194</v>
      </c>
      <c r="G66" s="13">
        <f>2876692.72/1000</f>
        <v>2876.69272</v>
      </c>
      <c r="H66" s="144"/>
      <c r="I66" s="12" t="s">
        <v>195</v>
      </c>
      <c r="J66" s="14">
        <f t="shared" si="7"/>
        <v>4109.5610311999999</v>
      </c>
    </row>
    <row r="67" spans="1:10" ht="41.4" x14ac:dyDescent="0.3">
      <c r="A67" s="133"/>
      <c r="B67" s="140"/>
      <c r="C67" s="140"/>
      <c r="D67" s="144"/>
      <c r="E67" s="13">
        <f t="shared" si="6"/>
        <v>2876.69272</v>
      </c>
      <c r="F67" s="12" t="s">
        <v>196</v>
      </c>
      <c r="G67" s="13">
        <f>2876692.72/1000</f>
        <v>2876.69272</v>
      </c>
      <c r="H67" s="139"/>
      <c r="I67" s="12" t="s">
        <v>197</v>
      </c>
      <c r="J67" s="14">
        <f t="shared" si="7"/>
        <v>4109.5610311999999</v>
      </c>
    </row>
    <row r="68" spans="1:10" ht="27.6" x14ac:dyDescent="0.3">
      <c r="A68" s="133"/>
      <c r="B68" s="140"/>
      <c r="C68" s="140"/>
      <c r="D68" s="144"/>
      <c r="E68" s="13">
        <f t="shared" si="6"/>
        <v>2876.69272</v>
      </c>
      <c r="F68" s="12" t="s">
        <v>198</v>
      </c>
      <c r="G68" s="13">
        <f>2876692.72/1000</f>
        <v>2876.69272</v>
      </c>
      <c r="H68" s="13">
        <f>J68</f>
        <v>0</v>
      </c>
      <c r="I68" s="12"/>
      <c r="J68" s="83"/>
    </row>
    <row r="69" spans="1:10" x14ac:dyDescent="0.3">
      <c r="A69" s="133"/>
      <c r="B69" s="138"/>
      <c r="C69" s="138"/>
      <c r="D69" s="139"/>
      <c r="E69" s="13"/>
      <c r="F69" s="12"/>
      <c r="G69" s="13"/>
      <c r="H69" s="13">
        <f>J69</f>
        <v>0</v>
      </c>
      <c r="I69" s="12"/>
      <c r="J69" s="83"/>
    </row>
    <row r="70" spans="1:10" ht="27.6" x14ac:dyDescent="0.3">
      <c r="A70" s="133"/>
      <c r="B70" s="145" t="s">
        <v>59</v>
      </c>
      <c r="C70" s="145" t="s">
        <v>60</v>
      </c>
      <c r="D70" s="143"/>
      <c r="E70" s="13">
        <f>G70</f>
        <v>518.05073899999991</v>
      </c>
      <c r="F70" s="12" t="s">
        <v>199</v>
      </c>
      <c r="G70" s="13">
        <f>439026.05*1.18/1000</f>
        <v>518.05073899999991</v>
      </c>
      <c r="H70" s="143">
        <f>157.41708*1.18+J71+J72+J73+J74+J75+J76+J77+J80+J78+J79</f>
        <v>1187.3708463999999</v>
      </c>
      <c r="I70" s="12" t="s">
        <v>200</v>
      </c>
      <c r="J70" s="14">
        <f>157417.08*1.18/1000</f>
        <v>185.75215439999997</v>
      </c>
    </row>
    <row r="71" spans="1:10" ht="27.6" x14ac:dyDescent="0.3">
      <c r="A71" s="133"/>
      <c r="B71" s="140"/>
      <c r="C71" s="140"/>
      <c r="D71" s="144"/>
      <c r="E71" s="13">
        <f>G71</f>
        <v>2374.1439756</v>
      </c>
      <c r="F71" s="12"/>
      <c r="G71" s="13">
        <f>2011986.42*1.18/1000</f>
        <v>2374.1439756</v>
      </c>
      <c r="H71" s="144"/>
      <c r="I71" s="12" t="s">
        <v>200</v>
      </c>
      <c r="J71" s="14">
        <f t="shared" ref="J71:J72" si="8">157417.08*1.18/1000</f>
        <v>185.75215439999997</v>
      </c>
    </row>
    <row r="72" spans="1:10" ht="27.6" x14ac:dyDescent="0.3">
      <c r="A72" s="133"/>
      <c r="B72" s="140"/>
      <c r="C72" s="140"/>
      <c r="D72" s="144"/>
      <c r="E72" s="143">
        <f>G72+G73+G74+G75+G76+G77</f>
        <v>1646.9702263999998</v>
      </c>
      <c r="F72" s="12"/>
      <c r="G72" s="13">
        <f>472251.24*1.18/1000</f>
        <v>557.25646319999998</v>
      </c>
      <c r="H72" s="144"/>
      <c r="I72" s="12" t="s">
        <v>200</v>
      </c>
      <c r="J72" s="14">
        <f t="shared" si="8"/>
        <v>185.75215439999997</v>
      </c>
    </row>
    <row r="73" spans="1:10" ht="27.6" x14ac:dyDescent="0.3">
      <c r="A73" s="133"/>
      <c r="B73" s="140"/>
      <c r="C73" s="140"/>
      <c r="D73" s="144"/>
      <c r="E73" s="144"/>
      <c r="F73" s="12"/>
      <c r="G73" s="13">
        <f>395351.48*1.18/1000</f>
        <v>466.51474639999992</v>
      </c>
      <c r="H73" s="144"/>
      <c r="I73" s="12" t="s">
        <v>201</v>
      </c>
      <c r="J73" s="14">
        <f>157417.08*1.18/1000</f>
        <v>185.75215439999997</v>
      </c>
    </row>
    <row r="74" spans="1:10" ht="27.6" x14ac:dyDescent="0.3">
      <c r="A74" s="133"/>
      <c r="B74" s="140"/>
      <c r="C74" s="140"/>
      <c r="D74" s="144"/>
      <c r="E74" s="144"/>
      <c r="F74" s="12"/>
      <c r="G74" s="13">
        <f>472251.24*1.18/1000</f>
        <v>557.25646319999998</v>
      </c>
      <c r="H74" s="144"/>
      <c r="I74" s="12" t="s">
        <v>201</v>
      </c>
      <c r="J74" s="14">
        <f>157417.08*1.18/1000</f>
        <v>185.75215439999997</v>
      </c>
    </row>
    <row r="75" spans="1:10" ht="27.6" x14ac:dyDescent="0.3">
      <c r="A75" s="133"/>
      <c r="B75" s="140"/>
      <c r="C75" s="140"/>
      <c r="D75" s="144"/>
      <c r="E75" s="144"/>
      <c r="F75" s="12"/>
      <c r="G75" s="13">
        <f>32736.08*1.18/1000</f>
        <v>38.628574399999998</v>
      </c>
      <c r="H75" s="144"/>
      <c r="I75" s="12" t="s">
        <v>201</v>
      </c>
      <c r="J75" s="14">
        <f>157417.08*1.18/1000</f>
        <v>185.75215439999997</v>
      </c>
    </row>
    <row r="76" spans="1:10" ht="27.6" x14ac:dyDescent="0.3">
      <c r="A76" s="133"/>
      <c r="B76" s="140"/>
      <c r="C76" s="140"/>
      <c r="D76" s="144"/>
      <c r="E76" s="144"/>
      <c r="F76" s="12"/>
      <c r="G76" s="13">
        <f>10506.99*1.18/1000</f>
        <v>12.398248199999999</v>
      </c>
      <c r="H76" s="144"/>
      <c r="I76" s="28" t="s">
        <v>202</v>
      </c>
      <c r="J76" s="14">
        <f>32736.08*1.18/1000</f>
        <v>38.628574399999998</v>
      </c>
    </row>
    <row r="77" spans="1:10" ht="27.6" x14ac:dyDescent="0.3">
      <c r="A77" s="165"/>
      <c r="B77" s="140"/>
      <c r="C77" s="140"/>
      <c r="D77" s="144"/>
      <c r="E77" s="139"/>
      <c r="F77" s="28"/>
      <c r="G77" s="29">
        <f>12640.45*1.18/1000</f>
        <v>14.915730999999999</v>
      </c>
      <c r="H77" s="144"/>
      <c r="I77" s="28" t="s">
        <v>202</v>
      </c>
      <c r="J77" s="14">
        <f>4211.64*1.18/1000</f>
        <v>4.9697351999999997</v>
      </c>
    </row>
    <row r="78" spans="1:10" ht="27.6" x14ac:dyDescent="0.3">
      <c r="A78" s="165"/>
      <c r="B78" s="140"/>
      <c r="C78" s="140"/>
      <c r="D78" s="144"/>
      <c r="E78" s="29"/>
      <c r="F78" s="28"/>
      <c r="G78" s="29"/>
      <c r="H78" s="144"/>
      <c r="I78" s="28" t="s">
        <v>202</v>
      </c>
      <c r="J78" s="14">
        <f>8428.81*1.18/1000</f>
        <v>9.9459957999999986</v>
      </c>
    </row>
    <row r="79" spans="1:10" ht="27.6" x14ac:dyDescent="0.3">
      <c r="A79" s="165"/>
      <c r="B79" s="140"/>
      <c r="C79" s="140"/>
      <c r="D79" s="144"/>
      <c r="E79" s="29"/>
      <c r="F79" s="28"/>
      <c r="G79" s="29"/>
      <c r="H79" s="144"/>
      <c r="I79" s="28" t="s">
        <v>134</v>
      </c>
      <c r="J79" s="14">
        <f>8475.03*1.18/1000</f>
        <v>10.0005354</v>
      </c>
    </row>
    <row r="80" spans="1:10" ht="27.6" x14ac:dyDescent="0.3">
      <c r="A80" s="165"/>
      <c r="B80" s="138"/>
      <c r="C80" s="138"/>
      <c r="D80" s="139"/>
      <c r="E80" s="29"/>
      <c r="F80" s="28"/>
      <c r="G80" s="29"/>
      <c r="H80" s="139"/>
      <c r="I80" s="28" t="s">
        <v>135</v>
      </c>
      <c r="J80" s="14">
        <f>7892.44*1.18/1000</f>
        <v>9.3130791999999989</v>
      </c>
    </row>
    <row r="81" spans="1:10" ht="27.6" x14ac:dyDescent="0.3">
      <c r="A81" s="165"/>
      <c r="B81" s="28" t="s">
        <v>203</v>
      </c>
      <c r="C81" s="28" t="s">
        <v>140</v>
      </c>
      <c r="D81" s="13">
        <f>2324166.84/1000</f>
        <v>2324.1668399999999</v>
      </c>
      <c r="E81" s="29">
        <f t="shared" ref="E81:E87" si="9">G81</f>
        <v>697.21107999999992</v>
      </c>
      <c r="F81" s="28" t="s">
        <v>204</v>
      </c>
      <c r="G81" s="29">
        <f>697211.08/1000</f>
        <v>697.21107999999992</v>
      </c>
      <c r="H81" s="29"/>
      <c r="I81" s="28"/>
      <c r="J81" s="52"/>
    </row>
    <row r="82" spans="1:10" ht="27.6" x14ac:dyDescent="0.3">
      <c r="A82" s="165"/>
      <c r="B82" s="28" t="s">
        <v>205</v>
      </c>
      <c r="C82" s="28" t="s">
        <v>206</v>
      </c>
      <c r="D82" s="29">
        <v>225.99299999999999</v>
      </c>
      <c r="E82" s="29">
        <f t="shared" si="9"/>
        <v>215.67</v>
      </c>
      <c r="F82" s="28" t="s">
        <v>207</v>
      </c>
      <c r="G82" s="29">
        <f>215670/1000</f>
        <v>215.67</v>
      </c>
      <c r="H82" s="29"/>
      <c r="I82" s="28"/>
      <c r="J82" s="52"/>
    </row>
    <row r="83" spans="1:10" ht="27.6" x14ac:dyDescent="0.3">
      <c r="A83" s="165"/>
      <c r="B83" s="145" t="s">
        <v>142</v>
      </c>
      <c r="C83" s="145" t="s">
        <v>143</v>
      </c>
      <c r="D83" s="143">
        <v>1477.82608</v>
      </c>
      <c r="E83" s="143">
        <f>G83+G84</f>
        <v>1379.6089999999999</v>
      </c>
      <c r="F83" s="28" t="s">
        <v>208</v>
      </c>
      <c r="G83" s="29">
        <f>468682.5/1000</f>
        <v>468.6825</v>
      </c>
      <c r="H83" s="29"/>
      <c r="I83" s="28"/>
      <c r="J83" s="52"/>
    </row>
    <row r="84" spans="1:10" ht="27.6" x14ac:dyDescent="0.3">
      <c r="A84" s="165"/>
      <c r="B84" s="138"/>
      <c r="C84" s="138"/>
      <c r="D84" s="139"/>
      <c r="E84" s="139"/>
      <c r="F84" s="28" t="s">
        <v>209</v>
      </c>
      <c r="G84" s="29">
        <f>910926.5/1000</f>
        <v>910.92650000000003</v>
      </c>
      <c r="H84" s="29"/>
      <c r="I84" s="28"/>
      <c r="J84" s="52"/>
    </row>
    <row r="85" spans="1:10" ht="27.6" x14ac:dyDescent="0.3">
      <c r="A85" s="165"/>
      <c r="B85" s="28" t="s">
        <v>210</v>
      </c>
      <c r="C85" s="28" t="s">
        <v>211</v>
      </c>
      <c r="D85" s="29">
        <f>217710/1000</f>
        <v>217.71</v>
      </c>
      <c r="E85" s="29">
        <f t="shared" si="9"/>
        <v>217.71</v>
      </c>
      <c r="F85" s="28" t="s">
        <v>212</v>
      </c>
      <c r="G85" s="29">
        <f>217710/1000</f>
        <v>217.71</v>
      </c>
      <c r="H85" s="29"/>
      <c r="I85" s="28"/>
      <c r="J85" s="52"/>
    </row>
    <row r="86" spans="1:10" ht="27.6" x14ac:dyDescent="0.3">
      <c r="A86" s="165"/>
      <c r="B86" s="28" t="s">
        <v>27</v>
      </c>
      <c r="C86" s="28" t="s">
        <v>147</v>
      </c>
      <c r="D86" s="13">
        <f>1399610.43/1000</f>
        <v>1399.61043</v>
      </c>
      <c r="E86" s="29">
        <f t="shared" si="9"/>
        <v>1367.01755</v>
      </c>
      <c r="F86" s="28" t="s">
        <v>213</v>
      </c>
      <c r="G86" s="29">
        <f>1367017.55/1000</f>
        <v>1367.01755</v>
      </c>
      <c r="H86" s="29"/>
      <c r="I86" s="28"/>
      <c r="J86" s="52"/>
    </row>
    <row r="87" spans="1:10" ht="27.6" x14ac:dyDescent="0.3">
      <c r="A87" s="165"/>
      <c r="B87" s="28" t="s">
        <v>73</v>
      </c>
      <c r="C87" s="28" t="s">
        <v>145</v>
      </c>
      <c r="D87" s="13">
        <f>1002233.7/1000</f>
        <v>1002.2337</v>
      </c>
      <c r="E87" s="29">
        <f t="shared" si="9"/>
        <v>553.70899999999995</v>
      </c>
      <c r="F87" s="28" t="s">
        <v>214</v>
      </c>
      <c r="G87" s="29">
        <f>553709/1000</f>
        <v>553.70899999999995</v>
      </c>
      <c r="H87" s="29"/>
      <c r="I87" s="28"/>
      <c r="J87" s="52"/>
    </row>
    <row r="88" spans="1:10" ht="27.6" x14ac:dyDescent="0.3">
      <c r="A88" s="165"/>
      <c r="B88" s="28" t="s">
        <v>149</v>
      </c>
      <c r="C88" s="12" t="s">
        <v>150</v>
      </c>
      <c r="D88" s="13">
        <f>437874.4/1000</f>
        <v>437.87440000000004</v>
      </c>
      <c r="E88" s="29">
        <f>G88</f>
        <v>353.4855</v>
      </c>
      <c r="F88" s="28" t="s">
        <v>215</v>
      </c>
      <c r="G88" s="29">
        <f>353485.5/1000</f>
        <v>353.4855</v>
      </c>
      <c r="H88" s="29"/>
      <c r="I88" s="28"/>
      <c r="J88" s="52"/>
    </row>
    <row r="89" spans="1:10" ht="27.6" x14ac:dyDescent="0.3">
      <c r="A89" s="165"/>
      <c r="B89" s="28" t="s">
        <v>142</v>
      </c>
      <c r="C89" s="28" t="s">
        <v>152</v>
      </c>
      <c r="D89" s="29">
        <f>976032.17/1000</f>
        <v>976.03217000000006</v>
      </c>
      <c r="E89" s="29">
        <f>G89</f>
        <v>856.50148999999999</v>
      </c>
      <c r="F89" s="28" t="s">
        <v>216</v>
      </c>
      <c r="G89" s="29">
        <f>856501.49/1000</f>
        <v>856.50148999999999</v>
      </c>
      <c r="H89" s="29"/>
      <c r="I89" s="28"/>
      <c r="J89" s="52"/>
    </row>
    <row r="90" spans="1:10" ht="27.6" x14ac:dyDescent="0.3">
      <c r="A90" s="165"/>
      <c r="B90" s="28" t="s">
        <v>217</v>
      </c>
      <c r="C90" s="28"/>
      <c r="D90" s="29"/>
      <c r="E90" s="29">
        <f>G90</f>
        <v>23.661000000000001</v>
      </c>
      <c r="F90" s="28" t="s">
        <v>218</v>
      </c>
      <c r="G90" s="29">
        <f>23661/1000</f>
        <v>23.661000000000001</v>
      </c>
      <c r="H90" s="29"/>
      <c r="I90" s="28"/>
      <c r="J90" s="52"/>
    </row>
    <row r="91" spans="1:10" ht="41.4" x14ac:dyDescent="0.3">
      <c r="A91" s="165"/>
      <c r="B91" s="145" t="s">
        <v>155</v>
      </c>
      <c r="C91" s="145"/>
      <c r="D91" s="145"/>
      <c r="E91" s="29"/>
      <c r="F91" s="30"/>
      <c r="G91" s="29"/>
      <c r="H91" s="13">
        <v>128.95178060000001</v>
      </c>
      <c r="I91" s="27" t="s">
        <v>219</v>
      </c>
      <c r="J91" s="14">
        <f>109281.17*1.18/1000</f>
        <v>128.95178060000001</v>
      </c>
    </row>
    <row r="92" spans="1:10" ht="41.4" x14ac:dyDescent="0.3">
      <c r="A92" s="165"/>
      <c r="B92" s="145" t="s">
        <v>157</v>
      </c>
      <c r="C92" s="145"/>
      <c r="D92" s="145"/>
      <c r="E92" s="29"/>
      <c r="F92" s="30"/>
      <c r="G92" s="29"/>
      <c r="H92" s="13">
        <f>J92</f>
        <v>888.19946379999999</v>
      </c>
      <c r="I92" s="30" t="s">
        <v>220</v>
      </c>
      <c r="J92" s="52">
        <f>752711.41*1.18/1000</f>
        <v>888.19946379999999</v>
      </c>
    </row>
    <row r="93" spans="1:10" ht="42" thickBot="1" x14ac:dyDescent="0.35">
      <c r="A93" s="165"/>
      <c r="B93" s="145" t="s">
        <v>161</v>
      </c>
      <c r="C93" s="145"/>
      <c r="D93" s="145"/>
      <c r="E93" s="29"/>
      <c r="F93" s="30"/>
      <c r="G93" s="29"/>
      <c r="H93" s="32">
        <f>J93</f>
        <v>7272.3609095999991</v>
      </c>
      <c r="I93" s="30" t="s">
        <v>221</v>
      </c>
      <c r="J93" s="52">
        <f>6163017.72*1.18/1000</f>
        <v>7272.3609095999991</v>
      </c>
    </row>
    <row r="94" spans="1:10" ht="83.4" thickBot="1" x14ac:dyDescent="0.35">
      <c r="A94" s="84" t="s">
        <v>222</v>
      </c>
      <c r="B94" s="23" t="s">
        <v>223</v>
      </c>
      <c r="C94" s="23" t="s">
        <v>224</v>
      </c>
      <c r="D94" s="23">
        <f>10481420/1000</f>
        <v>10481.42</v>
      </c>
      <c r="E94" s="24"/>
      <c r="F94" s="25"/>
      <c r="G94" s="24"/>
      <c r="H94" s="24">
        <f>J94</f>
        <v>5621</v>
      </c>
      <c r="I94" s="25" t="s">
        <v>225</v>
      </c>
      <c r="J94" s="26">
        <v>5621</v>
      </c>
    </row>
    <row r="95" spans="1:10" ht="27.6" x14ac:dyDescent="0.3">
      <c r="A95" s="150" t="s">
        <v>29</v>
      </c>
      <c r="B95" s="138" t="s">
        <v>40</v>
      </c>
      <c r="C95" s="138" t="s">
        <v>61</v>
      </c>
      <c r="D95" s="139">
        <v>16520.70492</v>
      </c>
      <c r="E95" s="48">
        <v>2301.1429600000001</v>
      </c>
      <c r="F95" s="47" t="s">
        <v>226</v>
      </c>
      <c r="G95" s="48">
        <f t="shared" si="3"/>
        <v>2301.1429600000001</v>
      </c>
      <c r="H95" s="144">
        <f>J95+J96+J97+J101+J98+J99+J100</f>
        <v>7553.2859521999999</v>
      </c>
      <c r="I95" s="47" t="s">
        <v>227</v>
      </c>
      <c r="J95" s="55">
        <f>124678.78*1.18/1000</f>
        <v>147.12096039999997</v>
      </c>
    </row>
    <row r="96" spans="1:10" ht="27.6" x14ac:dyDescent="0.3">
      <c r="A96" s="150"/>
      <c r="B96" s="134"/>
      <c r="C96" s="134"/>
      <c r="D96" s="135"/>
      <c r="E96" s="13">
        <v>147.12096</v>
      </c>
      <c r="F96" s="27" t="s">
        <v>228</v>
      </c>
      <c r="G96" s="13">
        <f t="shared" si="3"/>
        <v>147.12096</v>
      </c>
      <c r="H96" s="144"/>
      <c r="I96" s="27" t="s">
        <v>229</v>
      </c>
      <c r="J96" s="14">
        <f>155260.48*1.18/1000</f>
        <v>183.20736640000001</v>
      </c>
    </row>
    <row r="97" spans="1:10" ht="27.6" x14ac:dyDescent="0.3">
      <c r="A97" s="150"/>
      <c r="B97" s="134"/>
      <c r="C97" s="134"/>
      <c r="D97" s="135"/>
      <c r="E97" s="13">
        <v>183.20737</v>
      </c>
      <c r="F97" s="27" t="s">
        <v>230</v>
      </c>
      <c r="G97" s="13">
        <f t="shared" si="3"/>
        <v>183.20737</v>
      </c>
      <c r="H97" s="144"/>
      <c r="I97" s="27" t="s">
        <v>231</v>
      </c>
      <c r="J97" s="14">
        <f>1456301.71*1.18/1000</f>
        <v>1718.4360177999997</v>
      </c>
    </row>
    <row r="98" spans="1:10" ht="27.6" x14ac:dyDescent="0.3">
      <c r="A98" s="150"/>
      <c r="B98" s="134"/>
      <c r="C98" s="134"/>
      <c r="D98" s="135"/>
      <c r="E98" s="29">
        <f>G98</f>
        <v>1718.4360200000001</v>
      </c>
      <c r="F98" s="30" t="s">
        <v>232</v>
      </c>
      <c r="G98" s="29">
        <f>1718436.02/1000</f>
        <v>1718.4360200000001</v>
      </c>
      <c r="H98" s="144"/>
      <c r="I98" s="27" t="s">
        <v>233</v>
      </c>
      <c r="J98" s="14">
        <f>1004710.68*1.18/1000</f>
        <v>1185.5586023999999</v>
      </c>
    </row>
    <row r="99" spans="1:10" ht="27.6" x14ac:dyDescent="0.3">
      <c r="A99" s="150"/>
      <c r="B99" s="134"/>
      <c r="C99" s="134"/>
      <c r="D99" s="135"/>
      <c r="E99" s="29">
        <f>G99</f>
        <v>1185.5586000000001</v>
      </c>
      <c r="F99" s="30" t="s">
        <v>234</v>
      </c>
      <c r="G99" s="29">
        <f>1185558.6/1000</f>
        <v>1185.5586000000001</v>
      </c>
      <c r="H99" s="144"/>
      <c r="I99" s="27" t="s">
        <v>235</v>
      </c>
      <c r="J99" s="14">
        <f>659000.61*1.18/1000</f>
        <v>777.62071979999996</v>
      </c>
    </row>
    <row r="100" spans="1:10" ht="27.6" x14ac:dyDescent="0.3">
      <c r="A100" s="150"/>
      <c r="B100" s="134"/>
      <c r="C100" s="134"/>
      <c r="D100" s="135"/>
      <c r="E100" s="13"/>
      <c r="F100" s="27"/>
      <c r="G100" s="13"/>
      <c r="H100" s="144"/>
      <c r="I100" s="27" t="s">
        <v>236</v>
      </c>
      <c r="J100" s="14">
        <f>1478416.53*1.18/1000</f>
        <v>1744.5315054</v>
      </c>
    </row>
    <row r="101" spans="1:10" ht="27.6" x14ac:dyDescent="0.3">
      <c r="A101" s="150"/>
      <c r="B101" s="134"/>
      <c r="C101" s="134"/>
      <c r="D101" s="135"/>
      <c r="E101" s="13"/>
      <c r="F101" s="27"/>
      <c r="G101" s="13"/>
      <c r="H101" s="139"/>
      <c r="I101" s="27" t="s">
        <v>237</v>
      </c>
      <c r="J101" s="14">
        <f>1522721*1.18/1000</f>
        <v>1796.8107799999998</v>
      </c>
    </row>
    <row r="102" spans="1:10" ht="27.6" x14ac:dyDescent="0.3">
      <c r="A102" s="150"/>
      <c r="B102" s="134" t="s">
        <v>59</v>
      </c>
      <c r="C102" s="134" t="s">
        <v>60</v>
      </c>
      <c r="D102" s="135"/>
      <c r="E102" s="135">
        <f>G102+G106+G103</f>
        <v>30.951647800000003</v>
      </c>
      <c r="F102" s="12" t="s">
        <v>199</v>
      </c>
      <c r="G102" s="13">
        <f>13518.87*1.18/1000</f>
        <v>15.952266600000002</v>
      </c>
      <c r="H102" s="13">
        <f t="shared" ref="H102:H103" si="10">J102</f>
        <v>1.8828670000000001</v>
      </c>
      <c r="I102" s="12" t="s">
        <v>130</v>
      </c>
      <c r="J102" s="14">
        <f>1595.65*1.18/1000</f>
        <v>1.8828670000000001</v>
      </c>
    </row>
    <row r="103" spans="1:10" ht="27.6" x14ac:dyDescent="0.3">
      <c r="A103" s="150"/>
      <c r="B103" s="145"/>
      <c r="C103" s="145"/>
      <c r="D103" s="143"/>
      <c r="E103" s="143"/>
      <c r="F103" s="28" t="s">
        <v>127</v>
      </c>
      <c r="G103" s="29">
        <f>12711.34*1.18/1000</f>
        <v>14.9993812</v>
      </c>
      <c r="H103" s="29">
        <f t="shared" si="10"/>
        <v>13.116514199999999</v>
      </c>
      <c r="I103" s="28" t="s">
        <v>238</v>
      </c>
      <c r="J103" s="52">
        <f>11115.69*1.18/1000</f>
        <v>13.116514199999999</v>
      </c>
    </row>
    <row r="104" spans="1:10" ht="27.6" x14ac:dyDescent="0.3">
      <c r="A104" s="150"/>
      <c r="B104" s="145"/>
      <c r="C104" s="145"/>
      <c r="D104" s="143"/>
      <c r="E104" s="143"/>
      <c r="F104" s="28"/>
      <c r="G104" s="29"/>
      <c r="H104" s="29">
        <f>J104</f>
        <v>16.5527686</v>
      </c>
      <c r="I104" s="28" t="s">
        <v>134</v>
      </c>
      <c r="J104" s="52">
        <f>14027.77*1.18/1000</f>
        <v>16.5527686</v>
      </c>
    </row>
    <row r="105" spans="1:10" ht="27.6" x14ac:dyDescent="0.3">
      <c r="A105" s="150"/>
      <c r="B105" s="145"/>
      <c r="C105" s="145"/>
      <c r="D105" s="143"/>
      <c r="E105" s="143"/>
      <c r="F105" s="28"/>
      <c r="G105" s="29"/>
      <c r="H105" s="29">
        <f>J105</f>
        <v>24.6180922</v>
      </c>
      <c r="I105" s="28" t="s">
        <v>135</v>
      </c>
      <c r="J105" s="52">
        <f>20862.79*1.18/1000</f>
        <v>24.6180922</v>
      </c>
    </row>
    <row r="106" spans="1:10" x14ac:dyDescent="0.3">
      <c r="A106" s="150"/>
      <c r="B106" s="145"/>
      <c r="C106" s="145"/>
      <c r="D106" s="143"/>
      <c r="E106" s="143"/>
      <c r="F106" s="28"/>
      <c r="G106" s="29"/>
      <c r="H106" s="29"/>
      <c r="I106" s="28"/>
      <c r="J106" s="52"/>
    </row>
    <row r="107" spans="1:10" ht="41.4" x14ac:dyDescent="0.3">
      <c r="A107" s="150"/>
      <c r="B107" s="134" t="s">
        <v>159</v>
      </c>
      <c r="C107" s="134"/>
      <c r="D107" s="134"/>
      <c r="E107" s="13"/>
      <c r="F107" s="27"/>
      <c r="G107" s="13"/>
      <c r="H107" s="13">
        <f t="shared" ref="H107" si="11">J107</f>
        <v>427.71644079999999</v>
      </c>
      <c r="I107" s="27" t="s">
        <v>239</v>
      </c>
      <c r="J107" s="14">
        <f>362471.56*1.18/1000</f>
        <v>427.71644079999999</v>
      </c>
    </row>
    <row r="108" spans="1:10" ht="42" thickBot="1" x14ac:dyDescent="0.35">
      <c r="A108" s="151"/>
      <c r="B108" s="134" t="s">
        <v>161</v>
      </c>
      <c r="C108" s="134"/>
      <c r="D108" s="134"/>
      <c r="E108" s="13"/>
      <c r="F108" s="27"/>
      <c r="G108" s="13"/>
      <c r="H108" s="13">
        <f>J108</f>
        <v>432.07585639999991</v>
      </c>
      <c r="I108" s="27" t="s">
        <v>240</v>
      </c>
      <c r="J108" s="14">
        <f>366165.98*1.18/1000</f>
        <v>432.07585639999991</v>
      </c>
    </row>
    <row r="109" spans="1:10" ht="15" thickBot="1" x14ac:dyDescent="0.35">
      <c r="A109" s="41" t="s">
        <v>41</v>
      </c>
      <c r="B109" s="85"/>
      <c r="C109" s="85"/>
      <c r="D109" s="32"/>
      <c r="E109" s="42">
        <f>SUM(E9:E106)</f>
        <v>59203.376226399982</v>
      </c>
      <c r="F109" s="42"/>
      <c r="G109" s="42">
        <f>SUM(G9:G108)</f>
        <v>59203.37385639998</v>
      </c>
      <c r="H109" s="42">
        <f>SUM(H9:H108)</f>
        <v>76188.460055199961</v>
      </c>
      <c r="I109" s="42"/>
      <c r="J109" s="86">
        <f>SUM(J9:J108)</f>
        <v>76188.460055199961</v>
      </c>
    </row>
    <row r="110" spans="1:10" ht="42" thickBot="1" x14ac:dyDescent="0.35">
      <c r="A110" s="43" t="s">
        <v>42</v>
      </c>
      <c r="B110" s="44"/>
      <c r="C110" s="44"/>
      <c r="D110" s="44"/>
      <c r="E110" s="45">
        <f>G110</f>
        <v>4279.5358253500017</v>
      </c>
      <c r="F110" s="24"/>
      <c r="G110" s="45">
        <f>713.255970891667*6</f>
        <v>4279.5358253500017</v>
      </c>
      <c r="H110" s="45">
        <f>J110</f>
        <v>4279.5358253500017</v>
      </c>
      <c r="I110" s="24"/>
      <c r="J110" s="46">
        <f>713.255970891667*6</f>
        <v>4279.5358253500017</v>
      </c>
    </row>
    <row r="111" spans="1:10" ht="55.8" thickBot="1" x14ac:dyDescent="0.35">
      <c r="A111" s="43" t="s">
        <v>43</v>
      </c>
      <c r="B111" s="44"/>
      <c r="C111" s="44"/>
      <c r="D111" s="44"/>
      <c r="E111" s="45">
        <f>E109+E110</f>
        <v>63482.912051749983</v>
      </c>
      <c r="F111" s="24"/>
      <c r="G111" s="45">
        <f>G109+G110</f>
        <v>63482.909681749981</v>
      </c>
      <c r="H111" s="45">
        <f>H109+H110</f>
        <v>80467.995880549963</v>
      </c>
      <c r="I111" s="24"/>
      <c r="J111" s="46">
        <f>J109+J110</f>
        <v>80467.995880549963</v>
      </c>
    </row>
    <row r="112" spans="1:10" ht="15" thickBot="1" x14ac:dyDescent="0.35">
      <c r="A112" s="87" t="s">
        <v>21</v>
      </c>
      <c r="B112" s="44"/>
      <c r="C112" s="44"/>
      <c r="D112" s="44"/>
      <c r="E112" s="88"/>
      <c r="F112" s="89"/>
      <c r="G112" s="89"/>
      <c r="H112" s="89"/>
      <c r="I112" s="89"/>
      <c r="J112" s="90"/>
    </row>
    <row r="113" spans="1:10" ht="27.6" x14ac:dyDescent="0.3">
      <c r="A113" s="166" t="s">
        <v>22</v>
      </c>
      <c r="B113" s="12" t="s">
        <v>30</v>
      </c>
      <c r="C113" s="12" t="s">
        <v>241</v>
      </c>
      <c r="D113" s="12">
        <f>30668.87/1000</f>
        <v>30.668869999999998</v>
      </c>
      <c r="E113" s="48">
        <f>G113</f>
        <v>30.668869999999998</v>
      </c>
      <c r="F113" s="47" t="s">
        <v>242</v>
      </c>
      <c r="G113" s="48">
        <v>30.668869999999998</v>
      </c>
      <c r="H113" s="48"/>
      <c r="I113" s="47"/>
      <c r="J113" s="55"/>
    </row>
    <row r="114" spans="1:10" ht="27.6" x14ac:dyDescent="0.3">
      <c r="A114" s="166"/>
      <c r="B114" s="12" t="s">
        <v>62</v>
      </c>
      <c r="C114" s="12" t="s">
        <v>63</v>
      </c>
      <c r="D114" s="13">
        <v>742.8</v>
      </c>
      <c r="E114" s="13">
        <v>742.8</v>
      </c>
      <c r="F114" s="27" t="s">
        <v>243</v>
      </c>
      <c r="G114" s="13">
        <f>E114</f>
        <v>742.8</v>
      </c>
      <c r="H114" s="13"/>
      <c r="I114" s="27"/>
      <c r="J114" s="14"/>
    </row>
    <row r="115" spans="1:10" ht="27.6" x14ac:dyDescent="0.3">
      <c r="A115" s="166"/>
      <c r="B115" s="12" t="s">
        <v>23</v>
      </c>
      <c r="C115" s="12" t="s">
        <v>244</v>
      </c>
      <c r="D115" s="13">
        <v>7700</v>
      </c>
      <c r="E115" s="13">
        <v>98.926779999999994</v>
      </c>
      <c r="F115" s="27" t="s">
        <v>245</v>
      </c>
      <c r="G115" s="13">
        <f>E115</f>
        <v>98.926779999999994</v>
      </c>
      <c r="H115" s="13"/>
      <c r="I115" s="27"/>
      <c r="J115" s="14"/>
    </row>
    <row r="116" spans="1:10" ht="27.6" x14ac:dyDescent="0.3">
      <c r="A116" s="166"/>
      <c r="B116" s="12" t="s">
        <v>30</v>
      </c>
      <c r="C116" s="12" t="s">
        <v>246</v>
      </c>
      <c r="D116" s="13"/>
      <c r="E116" s="13">
        <f>G116</f>
        <v>334.57506000000001</v>
      </c>
      <c r="F116" s="27" t="s">
        <v>247</v>
      </c>
      <c r="G116" s="13">
        <f>334575.06/1000</f>
        <v>334.57506000000001</v>
      </c>
      <c r="H116" s="13"/>
      <c r="I116" s="27"/>
      <c r="J116" s="14"/>
    </row>
    <row r="117" spans="1:10" x14ac:dyDescent="0.3">
      <c r="A117" s="166"/>
      <c r="B117" s="134" t="s">
        <v>14</v>
      </c>
      <c r="C117" s="134"/>
      <c r="D117" s="27" t="s">
        <v>13</v>
      </c>
      <c r="E117" s="13">
        <f>G117</f>
        <v>369.99197999999996</v>
      </c>
      <c r="F117" s="12" t="s">
        <v>13</v>
      </c>
      <c r="G117" s="13">
        <f>369991.98/1000</f>
        <v>369.99197999999996</v>
      </c>
      <c r="H117" s="13">
        <f>J117</f>
        <v>369.99198000000001</v>
      </c>
      <c r="I117" s="12" t="s">
        <v>13</v>
      </c>
      <c r="J117" s="14">
        <v>369.99198000000001</v>
      </c>
    </row>
    <row r="118" spans="1:10" x14ac:dyDescent="0.3">
      <c r="A118" s="166"/>
      <c r="B118" s="134" t="s">
        <v>15</v>
      </c>
      <c r="C118" s="134"/>
      <c r="D118" s="27" t="s">
        <v>13</v>
      </c>
      <c r="E118" s="13">
        <f t="shared" ref="E118:E122" si="12">G118</f>
        <v>273.91406000000001</v>
      </c>
      <c r="F118" s="12" t="s">
        <v>13</v>
      </c>
      <c r="G118" s="13">
        <v>273.91406000000001</v>
      </c>
      <c r="H118" s="13">
        <f t="shared" ref="H118:H122" si="13">J118</f>
        <v>273.91406000000001</v>
      </c>
      <c r="I118" s="12" t="s">
        <v>13</v>
      </c>
      <c r="J118" s="14">
        <v>273.91406000000001</v>
      </c>
    </row>
    <row r="119" spans="1:10" x14ac:dyDescent="0.3">
      <c r="A119" s="166"/>
      <c r="B119" s="134" t="s">
        <v>16</v>
      </c>
      <c r="C119" s="134"/>
      <c r="D119" s="27" t="s">
        <v>13</v>
      </c>
      <c r="E119" s="13">
        <f t="shared" si="12"/>
        <v>340.16266000000002</v>
      </c>
      <c r="F119" s="12" t="s">
        <v>13</v>
      </c>
      <c r="G119" s="13">
        <v>340.16266000000002</v>
      </c>
      <c r="H119" s="13">
        <f t="shared" si="13"/>
        <v>340.16266000000002</v>
      </c>
      <c r="I119" s="12" t="s">
        <v>13</v>
      </c>
      <c r="J119" s="14">
        <v>340.16266000000002</v>
      </c>
    </row>
    <row r="120" spans="1:10" x14ac:dyDescent="0.3">
      <c r="A120" s="166"/>
      <c r="B120" s="134" t="s">
        <v>17</v>
      </c>
      <c r="C120" s="134"/>
      <c r="D120" s="27" t="s">
        <v>13</v>
      </c>
      <c r="E120" s="13">
        <f t="shared" si="12"/>
        <v>457.75364000000002</v>
      </c>
      <c r="F120" s="12" t="s">
        <v>13</v>
      </c>
      <c r="G120" s="13">
        <f>457753.64/1000</f>
        <v>457.75364000000002</v>
      </c>
      <c r="H120" s="13">
        <f t="shared" si="13"/>
        <v>457.75364000000002</v>
      </c>
      <c r="I120" s="54" t="s">
        <v>13</v>
      </c>
      <c r="J120" s="55">
        <f>457753.64/1000</f>
        <v>457.75364000000002</v>
      </c>
    </row>
    <row r="121" spans="1:10" x14ac:dyDescent="0.3">
      <c r="A121" s="166"/>
      <c r="B121" s="134" t="s">
        <v>18</v>
      </c>
      <c r="C121" s="134"/>
      <c r="D121" s="27" t="s">
        <v>13</v>
      </c>
      <c r="E121" s="13">
        <f t="shared" si="12"/>
        <v>591.2331999999999</v>
      </c>
      <c r="F121" s="12" t="s">
        <v>13</v>
      </c>
      <c r="G121" s="13">
        <f>591233.2/1000</f>
        <v>591.2331999999999</v>
      </c>
      <c r="H121" s="13">
        <f t="shared" si="13"/>
        <v>591.2331999999999</v>
      </c>
      <c r="I121" s="54" t="s">
        <v>13</v>
      </c>
      <c r="J121" s="55">
        <f>591233.2/1000</f>
        <v>591.2331999999999</v>
      </c>
    </row>
    <row r="122" spans="1:10" ht="15" thickBot="1" x14ac:dyDescent="0.35">
      <c r="A122" s="167"/>
      <c r="B122" s="134" t="s">
        <v>19</v>
      </c>
      <c r="C122" s="134"/>
      <c r="D122" s="39" t="s">
        <v>13</v>
      </c>
      <c r="E122" s="38">
        <f t="shared" si="12"/>
        <v>-489.14618999999999</v>
      </c>
      <c r="F122" s="54" t="s">
        <v>13</v>
      </c>
      <c r="G122" s="48">
        <v>-489.14618999999999</v>
      </c>
      <c r="H122" s="38">
        <f t="shared" si="13"/>
        <v>-489.14618999999999</v>
      </c>
      <c r="I122" s="54" t="s">
        <v>13</v>
      </c>
      <c r="J122" s="55">
        <v>-489.14618999999999</v>
      </c>
    </row>
    <row r="123" spans="1:10" ht="27.6" x14ac:dyDescent="0.3">
      <c r="A123" s="149" t="s">
        <v>64</v>
      </c>
      <c r="B123" s="91" t="s">
        <v>65</v>
      </c>
      <c r="C123" s="35" t="s">
        <v>248</v>
      </c>
      <c r="D123" s="20">
        <v>66177.229590000003</v>
      </c>
      <c r="E123" s="20">
        <v>39706.337399999997</v>
      </c>
      <c r="F123" s="20" t="s">
        <v>249</v>
      </c>
      <c r="G123" s="20">
        <f>E123</f>
        <v>39706.337399999997</v>
      </c>
      <c r="H123" s="50"/>
      <c r="I123" s="19"/>
      <c r="J123" s="21"/>
    </row>
    <row r="124" spans="1:10" ht="27.6" x14ac:dyDescent="0.3">
      <c r="A124" s="150"/>
      <c r="B124" s="145" t="s">
        <v>70</v>
      </c>
      <c r="C124" s="145" t="s">
        <v>71</v>
      </c>
      <c r="D124" s="143">
        <v>347.226</v>
      </c>
      <c r="E124" s="51">
        <v>35.225999999999999</v>
      </c>
      <c r="F124" s="29" t="s">
        <v>250</v>
      </c>
      <c r="G124" s="51">
        <f>E124</f>
        <v>35.225999999999999</v>
      </c>
      <c r="H124" s="51">
        <v>78</v>
      </c>
      <c r="I124" s="29" t="s">
        <v>251</v>
      </c>
      <c r="J124" s="52">
        <f t="shared" ref="J124:J125" si="14">H124</f>
        <v>78</v>
      </c>
    </row>
    <row r="125" spans="1:10" ht="27.6" x14ac:dyDescent="0.3">
      <c r="A125" s="150"/>
      <c r="B125" s="140"/>
      <c r="C125" s="140"/>
      <c r="D125" s="144"/>
      <c r="E125" s="13">
        <v>78</v>
      </c>
      <c r="F125" s="29" t="s">
        <v>252</v>
      </c>
      <c r="G125" s="51">
        <f t="shared" ref="G125" si="15">E125</f>
        <v>78</v>
      </c>
      <c r="H125" s="51">
        <f>66.10169*1.18</f>
        <v>77.999994200000003</v>
      </c>
      <c r="I125" s="29" t="s">
        <v>253</v>
      </c>
      <c r="J125" s="52">
        <f t="shared" si="14"/>
        <v>77.999994200000003</v>
      </c>
    </row>
    <row r="126" spans="1:10" ht="27.6" x14ac:dyDescent="0.3">
      <c r="A126" s="150"/>
      <c r="B126" s="140"/>
      <c r="C126" s="140"/>
      <c r="D126" s="144"/>
      <c r="E126" s="13">
        <v>78</v>
      </c>
      <c r="F126" s="13" t="s">
        <v>254</v>
      </c>
      <c r="G126" s="15">
        <v>78</v>
      </c>
      <c r="H126" s="15">
        <f>66.10169*1.18</f>
        <v>77.999994200000003</v>
      </c>
      <c r="I126" s="13" t="s">
        <v>255</v>
      </c>
      <c r="J126" s="14">
        <f>H126</f>
        <v>77.999994200000003</v>
      </c>
    </row>
    <row r="127" spans="1:10" ht="27.6" x14ac:dyDescent="0.3">
      <c r="A127" s="150"/>
      <c r="B127" s="140"/>
      <c r="C127" s="140"/>
      <c r="D127" s="144"/>
      <c r="E127" s="13">
        <v>78</v>
      </c>
      <c r="F127" s="13" t="s">
        <v>256</v>
      </c>
      <c r="G127" s="15">
        <v>78</v>
      </c>
      <c r="H127" s="15">
        <v>78</v>
      </c>
      <c r="I127" s="13"/>
      <c r="J127" s="14">
        <v>78</v>
      </c>
    </row>
    <row r="128" spans="1:10" ht="27.6" x14ac:dyDescent="0.3">
      <c r="A128" s="150"/>
      <c r="B128" s="138"/>
      <c r="C128" s="138"/>
      <c r="D128" s="139"/>
      <c r="E128" s="13">
        <f>G128</f>
        <v>78</v>
      </c>
      <c r="F128" s="13" t="s">
        <v>257</v>
      </c>
      <c r="G128" s="15">
        <v>78</v>
      </c>
      <c r="H128" s="15"/>
      <c r="I128" s="13"/>
      <c r="J128" s="14"/>
    </row>
    <row r="129" spans="1:10" ht="27.6" x14ac:dyDescent="0.3">
      <c r="A129" s="150"/>
      <c r="B129" s="179" t="s">
        <v>30</v>
      </c>
      <c r="C129" s="140" t="s">
        <v>66</v>
      </c>
      <c r="D129" s="159" t="s">
        <v>258</v>
      </c>
      <c r="E129" s="157">
        <f>70.33036+G130+G131+G133+G132</f>
        <v>421.98215999999996</v>
      </c>
      <c r="F129" s="32" t="s">
        <v>259</v>
      </c>
      <c r="G129" s="78">
        <v>70.330359999999999</v>
      </c>
      <c r="H129" s="157">
        <f>J129+J130+J131</f>
        <v>210.99108000000001</v>
      </c>
      <c r="I129" s="32" t="s">
        <v>260</v>
      </c>
      <c r="J129" s="34">
        <v>70.330359999999999</v>
      </c>
    </row>
    <row r="130" spans="1:10" ht="27.6" x14ac:dyDescent="0.3">
      <c r="A130" s="150"/>
      <c r="B130" s="179"/>
      <c r="C130" s="140"/>
      <c r="D130" s="159"/>
      <c r="E130" s="159"/>
      <c r="F130" s="29" t="s">
        <v>261</v>
      </c>
      <c r="G130" s="51">
        <v>70.330359999999999</v>
      </c>
      <c r="H130" s="159"/>
      <c r="I130" s="29" t="s">
        <v>262</v>
      </c>
      <c r="J130" s="52">
        <f>59602*1.18/1000</f>
        <v>70.330359999999999</v>
      </c>
    </row>
    <row r="131" spans="1:10" ht="27.6" x14ac:dyDescent="0.3">
      <c r="A131" s="150"/>
      <c r="B131" s="179"/>
      <c r="C131" s="140"/>
      <c r="D131" s="159"/>
      <c r="E131" s="159"/>
      <c r="F131" s="29" t="s">
        <v>263</v>
      </c>
      <c r="G131" s="51">
        <v>70.330359999999999</v>
      </c>
      <c r="H131" s="158"/>
      <c r="I131" s="29" t="s">
        <v>264</v>
      </c>
      <c r="J131" s="52">
        <v>70.330359999999999</v>
      </c>
    </row>
    <row r="132" spans="1:10" ht="27.6" x14ac:dyDescent="0.3">
      <c r="A132" s="150"/>
      <c r="B132" s="179"/>
      <c r="C132" s="140"/>
      <c r="D132" s="159"/>
      <c r="E132" s="159"/>
      <c r="F132" s="13" t="s">
        <v>265</v>
      </c>
      <c r="G132" s="51">
        <v>70.330359999999999</v>
      </c>
      <c r="H132" s="51">
        <f>J132</f>
        <v>70.330359999999999</v>
      </c>
      <c r="I132" s="29" t="s">
        <v>266</v>
      </c>
      <c r="J132" s="52">
        <v>70.330359999999999</v>
      </c>
    </row>
    <row r="133" spans="1:10" ht="27.6" x14ac:dyDescent="0.3">
      <c r="A133" s="150"/>
      <c r="B133" s="156"/>
      <c r="C133" s="138"/>
      <c r="D133" s="158"/>
      <c r="E133" s="158"/>
      <c r="F133" s="13" t="s">
        <v>267</v>
      </c>
      <c r="G133" s="51">
        <f>140660.72/1000</f>
        <v>140.66072</v>
      </c>
      <c r="H133" s="51">
        <v>140.66072</v>
      </c>
      <c r="I133" s="29" t="s">
        <v>268</v>
      </c>
      <c r="J133" s="52">
        <v>140.66072</v>
      </c>
    </row>
    <row r="134" spans="1:10" ht="27.6" x14ac:dyDescent="0.3">
      <c r="A134" s="150"/>
      <c r="B134" s="145" t="s">
        <v>59</v>
      </c>
      <c r="C134" s="145" t="s">
        <v>269</v>
      </c>
      <c r="D134" s="157"/>
      <c r="E134" s="13">
        <v>36364.387674199999</v>
      </c>
      <c r="F134" s="13" t="s">
        <v>270</v>
      </c>
      <c r="G134" s="13">
        <f t="shared" ref="G134" si="16">E134</f>
        <v>36364.387674199999</v>
      </c>
      <c r="H134" s="157">
        <f>J134+J135+J136</f>
        <v>610.29349839999998</v>
      </c>
      <c r="I134" s="143" t="s">
        <v>130</v>
      </c>
      <c r="J134" s="52">
        <f>283085.29*1.18/1000</f>
        <v>334.04064219999992</v>
      </c>
    </row>
    <row r="135" spans="1:10" ht="27.6" x14ac:dyDescent="0.3">
      <c r="A135" s="150"/>
      <c r="B135" s="140"/>
      <c r="C135" s="140"/>
      <c r="D135" s="159"/>
      <c r="E135" s="13">
        <f t="shared" ref="E135:E141" si="17">G135</f>
        <v>2696.6588852</v>
      </c>
      <c r="F135" s="54" t="s">
        <v>199</v>
      </c>
      <c r="G135" s="13">
        <f>2285304.14*1.18/1000</f>
        <v>2696.6588852</v>
      </c>
      <c r="H135" s="159"/>
      <c r="I135" s="144"/>
      <c r="J135" s="52">
        <f>53873.17*1.18/1000</f>
        <v>63.570340599999994</v>
      </c>
    </row>
    <row r="136" spans="1:10" ht="27.6" x14ac:dyDescent="0.3">
      <c r="A136" s="150"/>
      <c r="B136" s="140"/>
      <c r="C136" s="140"/>
      <c r="D136" s="159"/>
      <c r="E136" s="13">
        <f t="shared" si="17"/>
        <v>63.570340599999994</v>
      </c>
      <c r="F136" s="12" t="s">
        <v>127</v>
      </c>
      <c r="G136" s="13">
        <f>53873.17*1.18/1000</f>
        <v>63.570340599999994</v>
      </c>
      <c r="H136" s="158"/>
      <c r="I136" s="139"/>
      <c r="J136" s="52">
        <f>180239.42*1.18/1000</f>
        <v>212.68251560000002</v>
      </c>
    </row>
    <row r="137" spans="1:10" ht="27.6" x14ac:dyDescent="0.3">
      <c r="A137" s="150"/>
      <c r="B137" s="140"/>
      <c r="C137" s="140"/>
      <c r="D137" s="159"/>
      <c r="E137" s="13">
        <f t="shared" si="17"/>
        <v>334.04064219999992</v>
      </c>
      <c r="F137" s="32" t="s">
        <v>127</v>
      </c>
      <c r="G137" s="13">
        <f>283085.29*1.18/1000</f>
        <v>334.04064219999992</v>
      </c>
      <c r="H137" s="157">
        <f>J137+J138+J139</f>
        <v>642.86086119999993</v>
      </c>
      <c r="I137" s="13" t="s">
        <v>271</v>
      </c>
      <c r="J137" s="52">
        <f>257268.41*1.18/1000</f>
        <v>303.57672379999997</v>
      </c>
    </row>
    <row r="138" spans="1:10" ht="27.6" x14ac:dyDescent="0.3">
      <c r="A138" s="150"/>
      <c r="B138" s="140"/>
      <c r="C138" s="140"/>
      <c r="D138" s="159"/>
      <c r="E138" s="13">
        <f t="shared" si="17"/>
        <v>212.68251560000002</v>
      </c>
      <c r="F138" s="29" t="s">
        <v>127</v>
      </c>
      <c r="G138" s="13">
        <f>180239.42*1.18/1000</f>
        <v>212.68251560000002</v>
      </c>
      <c r="H138" s="159"/>
      <c r="I138" s="13" t="s">
        <v>272</v>
      </c>
      <c r="J138" s="52">
        <f>255379.94*1.18/1000</f>
        <v>301.34832919999997</v>
      </c>
    </row>
    <row r="139" spans="1:10" ht="27.6" x14ac:dyDescent="0.3">
      <c r="A139" s="150"/>
      <c r="B139" s="140"/>
      <c r="C139" s="140"/>
      <c r="D139" s="159"/>
      <c r="E139" s="13">
        <f t="shared" si="17"/>
        <v>5242.8518639999993</v>
      </c>
      <c r="F139" s="29"/>
      <c r="G139" s="13">
        <f>4443094.8*1.18/1000</f>
        <v>5242.8518639999993</v>
      </c>
      <c r="H139" s="158"/>
      <c r="I139" s="13" t="s">
        <v>272</v>
      </c>
      <c r="J139" s="52">
        <f>32148.99*1.18/1000</f>
        <v>37.935808199999997</v>
      </c>
    </row>
    <row r="140" spans="1:10" x14ac:dyDescent="0.3">
      <c r="A140" s="150"/>
      <c r="B140" s="140"/>
      <c r="C140" s="140"/>
      <c r="D140" s="159"/>
      <c r="E140" s="13">
        <f t="shared" si="17"/>
        <v>320.66747799999996</v>
      </c>
      <c r="F140" s="29"/>
      <c r="G140" s="51">
        <f>271752.1*1.18/1000</f>
        <v>320.66747799999996</v>
      </c>
      <c r="H140" s="157">
        <f>J140+J141</f>
        <v>4599.9910027999995</v>
      </c>
      <c r="I140" s="143" t="s">
        <v>131</v>
      </c>
      <c r="J140" s="52">
        <f>1782443.22*1.18/1000</f>
        <v>2103.2829995999996</v>
      </c>
    </row>
    <row r="141" spans="1:10" x14ac:dyDescent="0.3">
      <c r="A141" s="150"/>
      <c r="B141" s="140"/>
      <c r="C141" s="140"/>
      <c r="D141" s="159"/>
      <c r="E141" s="13">
        <f t="shared" si="17"/>
        <v>503.41132859999999</v>
      </c>
      <c r="F141" s="29"/>
      <c r="G141" s="51">
        <f>426619.77*1.18/1000</f>
        <v>503.41132859999999</v>
      </c>
      <c r="H141" s="158"/>
      <c r="I141" s="139"/>
      <c r="J141" s="52">
        <f>2115854.24*1.18/1000</f>
        <v>2496.7080032000003</v>
      </c>
    </row>
    <row r="142" spans="1:10" x14ac:dyDescent="0.3">
      <c r="A142" s="150"/>
      <c r="B142" s="140"/>
      <c r="C142" s="140"/>
      <c r="D142" s="159"/>
      <c r="E142" s="13"/>
      <c r="F142" s="29"/>
      <c r="G142" s="51"/>
      <c r="H142" s="157">
        <f>J142+J143+J144+J145</f>
        <v>503.41132859999993</v>
      </c>
      <c r="I142" s="143" t="s">
        <v>132</v>
      </c>
      <c r="J142" s="52">
        <f>401507.91*1.18/1000</f>
        <v>473.77933379999996</v>
      </c>
    </row>
    <row r="143" spans="1:10" x14ac:dyDescent="0.3">
      <c r="A143" s="150"/>
      <c r="B143" s="140"/>
      <c r="C143" s="140"/>
      <c r="D143" s="159"/>
      <c r="E143" s="13"/>
      <c r="F143" s="29"/>
      <c r="G143" s="51"/>
      <c r="H143" s="159"/>
      <c r="I143" s="144"/>
      <c r="J143" s="52">
        <f>1898.02*1.18/1000</f>
        <v>2.2396635999999996</v>
      </c>
    </row>
    <row r="144" spans="1:10" x14ac:dyDescent="0.3">
      <c r="A144" s="150"/>
      <c r="B144" s="140"/>
      <c r="C144" s="140"/>
      <c r="D144" s="159"/>
      <c r="E144" s="13"/>
      <c r="F144" s="29"/>
      <c r="G144" s="51"/>
      <c r="H144" s="159"/>
      <c r="I144" s="144"/>
      <c r="J144" s="52">
        <f>11606.92*1.18/1000</f>
        <v>13.6961656</v>
      </c>
    </row>
    <row r="145" spans="1:10" x14ac:dyDescent="0.3">
      <c r="A145" s="150"/>
      <c r="B145" s="140"/>
      <c r="C145" s="140"/>
      <c r="D145" s="159"/>
      <c r="E145" s="13"/>
      <c r="F145" s="29"/>
      <c r="G145" s="51"/>
      <c r="H145" s="158"/>
      <c r="I145" s="139"/>
      <c r="J145" s="52">
        <f>11606.92*1.18/1000</f>
        <v>13.6961656</v>
      </c>
    </row>
    <row r="146" spans="1:10" x14ac:dyDescent="0.3">
      <c r="A146" s="150"/>
      <c r="B146" s="140"/>
      <c r="C146" s="140"/>
      <c r="D146" s="159"/>
      <c r="E146" s="13"/>
      <c r="F146" s="29"/>
      <c r="G146" s="51"/>
      <c r="H146" s="157">
        <f>J146+J147+J148+J149+J150+J151+J152</f>
        <v>320.66747800000002</v>
      </c>
      <c r="I146" s="157" t="s">
        <v>202</v>
      </c>
      <c r="J146" s="52">
        <f>137302.22*1.18/1000</f>
        <v>162.01661960000001</v>
      </c>
    </row>
    <row r="147" spans="1:10" x14ac:dyDescent="0.3">
      <c r="A147" s="150"/>
      <c r="B147" s="140"/>
      <c r="C147" s="140"/>
      <c r="D147" s="159"/>
      <c r="E147" s="13"/>
      <c r="F147" s="29"/>
      <c r="G147" s="51"/>
      <c r="H147" s="159"/>
      <c r="I147" s="159"/>
      <c r="J147" s="52">
        <f>13502.06*1.18/1000</f>
        <v>15.932430799999999</v>
      </c>
    </row>
    <row r="148" spans="1:10" x14ac:dyDescent="0.3">
      <c r="A148" s="150"/>
      <c r="B148" s="140"/>
      <c r="C148" s="140"/>
      <c r="D148" s="159"/>
      <c r="E148" s="13"/>
      <c r="F148" s="29"/>
      <c r="G148" s="51"/>
      <c r="H148" s="159"/>
      <c r="I148" s="159"/>
      <c r="J148" s="52">
        <f>6241.87*1.18/1000</f>
        <v>7.3654065999999991</v>
      </c>
    </row>
    <row r="149" spans="1:10" x14ac:dyDescent="0.3">
      <c r="A149" s="150"/>
      <c r="B149" s="140"/>
      <c r="C149" s="140"/>
      <c r="D149" s="159"/>
      <c r="E149" s="13"/>
      <c r="F149" s="29"/>
      <c r="G149" s="51"/>
      <c r="H149" s="159"/>
      <c r="I149" s="159"/>
      <c r="J149" s="52">
        <f>25782.34*1.18/1000</f>
        <v>30.423161199999999</v>
      </c>
    </row>
    <row r="150" spans="1:10" x14ac:dyDescent="0.3">
      <c r="A150" s="150"/>
      <c r="B150" s="140"/>
      <c r="C150" s="140"/>
      <c r="D150" s="159"/>
      <c r="E150" s="13"/>
      <c r="F150" s="29"/>
      <c r="G150" s="51"/>
      <c r="H150" s="159"/>
      <c r="I150" s="159"/>
      <c r="J150" s="52">
        <f>1966.47*1.18/1000</f>
        <v>2.3204346</v>
      </c>
    </row>
    <row r="151" spans="1:10" x14ac:dyDescent="0.3">
      <c r="A151" s="150"/>
      <c r="B151" s="140"/>
      <c r="C151" s="140"/>
      <c r="D151" s="159"/>
      <c r="E151" s="13"/>
      <c r="F151" s="29"/>
      <c r="G151" s="51"/>
      <c r="H151" s="159"/>
      <c r="I151" s="159"/>
      <c r="J151" s="52">
        <f>11867.51*1.18/1000</f>
        <v>14.0036618</v>
      </c>
    </row>
    <row r="152" spans="1:10" x14ac:dyDescent="0.3">
      <c r="A152" s="150"/>
      <c r="B152" s="140"/>
      <c r="C152" s="140"/>
      <c r="D152" s="159"/>
      <c r="E152" s="13"/>
      <c r="F152" s="29"/>
      <c r="G152" s="51"/>
      <c r="H152" s="158"/>
      <c r="I152" s="158"/>
      <c r="J152" s="52">
        <f>75089.63*1.18/1000</f>
        <v>88.605763400000001</v>
      </c>
    </row>
    <row r="153" spans="1:10" x14ac:dyDescent="0.3">
      <c r="A153" s="150"/>
      <c r="B153" s="140"/>
      <c r="C153" s="140"/>
      <c r="D153" s="159"/>
      <c r="E153" s="13"/>
      <c r="F153" s="29"/>
      <c r="G153" s="51"/>
      <c r="H153" s="157">
        <f>SUM(J153:J188)</f>
        <v>1423.6571497999996</v>
      </c>
      <c r="I153" s="143" t="s">
        <v>135</v>
      </c>
      <c r="J153" s="52">
        <f>4382.84*1.18/1000</f>
        <v>5.1717512000000001</v>
      </c>
    </row>
    <row r="154" spans="1:10" x14ac:dyDescent="0.3">
      <c r="A154" s="150"/>
      <c r="B154" s="140"/>
      <c r="C154" s="140"/>
      <c r="D154" s="159"/>
      <c r="E154" s="13"/>
      <c r="F154" s="29"/>
      <c r="G154" s="51"/>
      <c r="H154" s="159"/>
      <c r="I154" s="144"/>
      <c r="J154" s="52">
        <f>4382.84*1.18/1000</f>
        <v>5.1717512000000001</v>
      </c>
    </row>
    <row r="155" spans="1:10" x14ac:dyDescent="0.3">
      <c r="A155" s="150"/>
      <c r="B155" s="140"/>
      <c r="C155" s="140"/>
      <c r="D155" s="159"/>
      <c r="E155" s="13"/>
      <c r="F155" s="29"/>
      <c r="G155" s="51"/>
      <c r="H155" s="159"/>
      <c r="I155" s="144"/>
      <c r="J155" s="52">
        <f>4382.84*1.18/1000</f>
        <v>5.1717512000000001</v>
      </c>
    </row>
    <row r="156" spans="1:10" x14ac:dyDescent="0.3">
      <c r="A156" s="150"/>
      <c r="B156" s="140"/>
      <c r="C156" s="140"/>
      <c r="D156" s="159"/>
      <c r="E156" s="13"/>
      <c r="F156" s="29"/>
      <c r="G156" s="51"/>
      <c r="H156" s="159"/>
      <c r="I156" s="144"/>
      <c r="J156" s="52">
        <f>863.38*1.18/1000</f>
        <v>1.0187883999999998</v>
      </c>
    </row>
    <row r="157" spans="1:10" x14ac:dyDescent="0.3">
      <c r="A157" s="150"/>
      <c r="B157" s="140"/>
      <c r="C157" s="140"/>
      <c r="D157" s="159"/>
      <c r="E157" s="13"/>
      <c r="F157" s="29"/>
      <c r="G157" s="51"/>
      <c r="H157" s="159"/>
      <c r="I157" s="144"/>
      <c r="J157" s="52">
        <f>863.38*1.18/1000</f>
        <v>1.0187883999999998</v>
      </c>
    </row>
    <row r="158" spans="1:10" x14ac:dyDescent="0.3">
      <c r="A158" s="150"/>
      <c r="B158" s="140"/>
      <c r="C158" s="140"/>
      <c r="D158" s="159"/>
      <c r="E158" s="13"/>
      <c r="F158" s="29"/>
      <c r="G158" s="51"/>
      <c r="H158" s="159"/>
      <c r="I158" s="144"/>
      <c r="J158" s="52">
        <f>608.67*1.18/1000</f>
        <v>0.71823059999999983</v>
      </c>
    </row>
    <row r="159" spans="1:10" x14ac:dyDescent="0.3">
      <c r="A159" s="150"/>
      <c r="B159" s="140"/>
      <c r="C159" s="140"/>
      <c r="D159" s="159"/>
      <c r="E159" s="13"/>
      <c r="F159" s="29"/>
      <c r="G159" s="51"/>
      <c r="H159" s="159"/>
      <c r="I159" s="144"/>
      <c r="J159" s="52">
        <f t="shared" ref="J159:J161" si="18">608.67*1.18/1000</f>
        <v>0.71823059999999983</v>
      </c>
    </row>
    <row r="160" spans="1:10" x14ac:dyDescent="0.3">
      <c r="A160" s="150"/>
      <c r="B160" s="140"/>
      <c r="C160" s="140"/>
      <c r="D160" s="159"/>
      <c r="E160" s="13"/>
      <c r="F160" s="29"/>
      <c r="G160" s="51"/>
      <c r="H160" s="159"/>
      <c r="I160" s="144"/>
      <c r="J160" s="52">
        <f t="shared" si="18"/>
        <v>0.71823059999999983</v>
      </c>
    </row>
    <row r="161" spans="1:10" x14ac:dyDescent="0.3">
      <c r="A161" s="150"/>
      <c r="B161" s="140"/>
      <c r="C161" s="140"/>
      <c r="D161" s="159"/>
      <c r="E161" s="13"/>
      <c r="F161" s="29"/>
      <c r="G161" s="51"/>
      <c r="H161" s="159"/>
      <c r="I161" s="144"/>
      <c r="J161" s="52">
        <f t="shared" si="18"/>
        <v>0.71823059999999983</v>
      </c>
    </row>
    <row r="162" spans="1:10" x14ac:dyDescent="0.3">
      <c r="A162" s="150"/>
      <c r="B162" s="140"/>
      <c r="C162" s="140"/>
      <c r="D162" s="159"/>
      <c r="E162" s="13"/>
      <c r="F162" s="29"/>
      <c r="G162" s="51"/>
      <c r="H162" s="159"/>
      <c r="I162" s="144"/>
      <c r="J162" s="52">
        <f>15470.53*1.18/1000</f>
        <v>18.2552254</v>
      </c>
    </row>
    <row r="163" spans="1:10" x14ac:dyDescent="0.3">
      <c r="A163" s="150"/>
      <c r="B163" s="140"/>
      <c r="C163" s="140"/>
      <c r="D163" s="159"/>
      <c r="E163" s="13"/>
      <c r="F163" s="29"/>
      <c r="G163" s="51"/>
      <c r="H163" s="159"/>
      <c r="I163" s="144"/>
      <c r="J163" s="52">
        <f>15470.53*1.18/1000</f>
        <v>18.2552254</v>
      </c>
    </row>
    <row r="164" spans="1:10" x14ac:dyDescent="0.3">
      <c r="A164" s="150"/>
      <c r="B164" s="140"/>
      <c r="C164" s="140"/>
      <c r="D164" s="159"/>
      <c r="E164" s="13"/>
      <c r="F164" s="29"/>
      <c r="G164" s="51"/>
      <c r="H164" s="159"/>
      <c r="I164" s="144"/>
      <c r="J164" s="52">
        <f>17718.85*1.18/1000</f>
        <v>20.908242999999999</v>
      </c>
    </row>
    <row r="165" spans="1:10" x14ac:dyDescent="0.3">
      <c r="A165" s="150"/>
      <c r="B165" s="140"/>
      <c r="C165" s="140"/>
      <c r="D165" s="159"/>
      <c r="E165" s="13"/>
      <c r="F165" s="29"/>
      <c r="G165" s="51"/>
      <c r="H165" s="159"/>
      <c r="I165" s="144"/>
      <c r="J165" s="52">
        <f>17718.85*1.18/1000</f>
        <v>20.908242999999999</v>
      </c>
    </row>
    <row r="166" spans="1:10" x14ac:dyDescent="0.3">
      <c r="A166" s="150"/>
      <c r="B166" s="140"/>
      <c r="C166" s="140"/>
      <c r="D166" s="159"/>
      <c r="E166" s="13"/>
      <c r="F166" s="29"/>
      <c r="G166" s="51"/>
      <c r="H166" s="159"/>
      <c r="I166" s="144"/>
      <c r="J166" s="52">
        <f>345506.68*1.18/1000</f>
        <v>407.69788239999997</v>
      </c>
    </row>
    <row r="167" spans="1:10" x14ac:dyDescent="0.3">
      <c r="A167" s="150"/>
      <c r="B167" s="140"/>
      <c r="C167" s="140"/>
      <c r="D167" s="159"/>
      <c r="E167" s="13"/>
      <c r="F167" s="29"/>
      <c r="G167" s="51"/>
      <c r="H167" s="159"/>
      <c r="I167" s="144"/>
      <c r="J167" s="52">
        <f>8377.69*1.18/1000</f>
        <v>9.8856741999999986</v>
      </c>
    </row>
    <row r="168" spans="1:10" x14ac:dyDescent="0.3">
      <c r="A168" s="150"/>
      <c r="B168" s="140"/>
      <c r="C168" s="140"/>
      <c r="D168" s="159"/>
      <c r="E168" s="13"/>
      <c r="F168" s="29"/>
      <c r="G168" s="51"/>
      <c r="H168" s="159"/>
      <c r="I168" s="144"/>
      <c r="J168" s="52">
        <f>10626.54*1.18/1000</f>
        <v>12.539317199999999</v>
      </c>
    </row>
    <row r="169" spans="1:10" x14ac:dyDescent="0.3">
      <c r="A169" s="150"/>
      <c r="B169" s="140"/>
      <c r="C169" s="140"/>
      <c r="D169" s="159"/>
      <c r="E169" s="13"/>
      <c r="F169" s="29"/>
      <c r="G169" s="51"/>
      <c r="H169" s="159"/>
      <c r="I169" s="144"/>
      <c r="J169" s="52">
        <f>16878.74*1.18/1000</f>
        <v>19.9169132</v>
      </c>
    </row>
    <row r="170" spans="1:10" x14ac:dyDescent="0.3">
      <c r="A170" s="150"/>
      <c r="B170" s="140"/>
      <c r="C170" s="140"/>
      <c r="D170" s="159"/>
      <c r="E170" s="13"/>
      <c r="F170" s="29"/>
      <c r="G170" s="51"/>
      <c r="H170" s="159"/>
      <c r="I170" s="144"/>
      <c r="J170" s="52">
        <f>97319*1.18/1000</f>
        <v>114.83642</v>
      </c>
    </row>
    <row r="171" spans="1:10" x14ac:dyDescent="0.3">
      <c r="A171" s="150"/>
      <c r="B171" s="140"/>
      <c r="C171" s="140"/>
      <c r="D171" s="159"/>
      <c r="E171" s="13"/>
      <c r="F171" s="29"/>
      <c r="G171" s="51"/>
      <c r="H171" s="159"/>
      <c r="I171" s="144"/>
      <c r="J171" s="52">
        <f>96908.3*1.18/1000</f>
        <v>114.351794</v>
      </c>
    </row>
    <row r="172" spans="1:10" x14ac:dyDescent="0.3">
      <c r="A172" s="150"/>
      <c r="B172" s="140"/>
      <c r="C172" s="140"/>
      <c r="D172" s="159"/>
      <c r="E172" s="13"/>
      <c r="F172" s="29"/>
      <c r="G172" s="51"/>
      <c r="H172" s="159"/>
      <c r="I172" s="144"/>
      <c r="J172" s="52">
        <f>75536.06*1.18/1000</f>
        <v>89.132550800000004</v>
      </c>
    </row>
    <row r="173" spans="1:10" x14ac:dyDescent="0.3">
      <c r="A173" s="150"/>
      <c r="B173" s="140"/>
      <c r="C173" s="140"/>
      <c r="D173" s="159"/>
      <c r="E173" s="13"/>
      <c r="F173" s="29"/>
      <c r="G173" s="51"/>
      <c r="H173" s="159"/>
      <c r="I173" s="144"/>
      <c r="J173" s="52">
        <f>33537.39*1.18/1000</f>
        <v>39.574120199999996</v>
      </c>
    </row>
    <row r="174" spans="1:10" x14ac:dyDescent="0.3">
      <c r="A174" s="150"/>
      <c r="B174" s="140"/>
      <c r="C174" s="140"/>
      <c r="D174" s="159"/>
      <c r="E174" s="13"/>
      <c r="F174" s="29"/>
      <c r="G174" s="51"/>
      <c r="H174" s="159"/>
      <c r="I174" s="144"/>
      <c r="J174" s="52">
        <f>164394.92*1.18/1000</f>
        <v>193.9860056</v>
      </c>
    </row>
    <row r="175" spans="1:10" x14ac:dyDescent="0.3">
      <c r="A175" s="150"/>
      <c r="B175" s="140"/>
      <c r="C175" s="140"/>
      <c r="D175" s="159"/>
      <c r="E175" s="13"/>
      <c r="F175" s="29"/>
      <c r="G175" s="51"/>
      <c r="H175" s="159"/>
      <c r="I175" s="144"/>
      <c r="J175" s="52">
        <f>21304.83*1.18/1000</f>
        <v>25.139699400000001</v>
      </c>
    </row>
    <row r="176" spans="1:10" x14ac:dyDescent="0.3">
      <c r="A176" s="150"/>
      <c r="B176" s="140"/>
      <c r="C176" s="140"/>
      <c r="D176" s="159"/>
      <c r="E176" s="13"/>
      <c r="F176" s="29"/>
      <c r="G176" s="51"/>
      <c r="H176" s="159"/>
      <c r="I176" s="144"/>
      <c r="J176" s="52">
        <f>2511.44*1.18/1000</f>
        <v>2.9634991999999998</v>
      </c>
    </row>
    <row r="177" spans="1:10" x14ac:dyDescent="0.3">
      <c r="A177" s="150"/>
      <c r="B177" s="140"/>
      <c r="C177" s="140"/>
      <c r="D177" s="159"/>
      <c r="E177" s="13"/>
      <c r="F177" s="29"/>
      <c r="G177" s="51"/>
      <c r="H177" s="159"/>
      <c r="I177" s="144"/>
      <c r="J177" s="52">
        <f>102480.12*1.18/1000</f>
        <v>120.92654159999998</v>
      </c>
    </row>
    <row r="178" spans="1:10" x14ac:dyDescent="0.3">
      <c r="A178" s="150"/>
      <c r="B178" s="140"/>
      <c r="C178" s="140"/>
      <c r="D178" s="159"/>
      <c r="E178" s="13"/>
      <c r="F178" s="29"/>
      <c r="G178" s="51"/>
      <c r="H178" s="159"/>
      <c r="I178" s="144"/>
      <c r="J178" s="52">
        <f>2835.65*1.18/1000</f>
        <v>3.3460670000000001</v>
      </c>
    </row>
    <row r="179" spans="1:10" x14ac:dyDescent="0.3">
      <c r="A179" s="150"/>
      <c r="B179" s="140"/>
      <c r="C179" s="140"/>
      <c r="D179" s="159"/>
      <c r="E179" s="13"/>
      <c r="F179" s="29"/>
      <c r="G179" s="51"/>
      <c r="H179" s="159"/>
      <c r="I179" s="144"/>
      <c r="J179" s="52">
        <f>2191.22*1.18/1000</f>
        <v>2.5856395999999995</v>
      </c>
    </row>
    <row r="180" spans="1:10" x14ac:dyDescent="0.3">
      <c r="A180" s="150"/>
      <c r="B180" s="140"/>
      <c r="C180" s="140"/>
      <c r="D180" s="159"/>
      <c r="E180" s="13"/>
      <c r="F180" s="29"/>
      <c r="G180" s="51"/>
      <c r="H180" s="159"/>
      <c r="I180" s="139"/>
      <c r="J180" s="52">
        <f>8243.15*1.18/1000</f>
        <v>9.7269170000000003</v>
      </c>
    </row>
    <row r="181" spans="1:10" x14ac:dyDescent="0.3">
      <c r="A181" s="150"/>
      <c r="B181" s="140"/>
      <c r="C181" s="140"/>
      <c r="D181" s="159"/>
      <c r="E181" s="13"/>
      <c r="F181" s="29"/>
      <c r="G181" s="51"/>
      <c r="H181" s="159"/>
      <c r="I181" s="143" t="s">
        <v>273</v>
      </c>
      <c r="J181" s="52">
        <f>6983.07*1.18/1000</f>
        <v>8.2400225999999979</v>
      </c>
    </row>
    <row r="182" spans="1:10" x14ac:dyDescent="0.3">
      <c r="A182" s="150"/>
      <c r="B182" s="140"/>
      <c r="C182" s="140"/>
      <c r="D182" s="159"/>
      <c r="E182" s="13"/>
      <c r="F182" s="29"/>
      <c r="G182" s="51"/>
      <c r="H182" s="159"/>
      <c r="I182" s="144"/>
      <c r="J182" s="52">
        <f t="shared" ref="J182:J184" si="19">6983.07*1.18/1000</f>
        <v>8.2400225999999979</v>
      </c>
    </row>
    <row r="183" spans="1:10" x14ac:dyDescent="0.3">
      <c r="A183" s="150"/>
      <c r="B183" s="140"/>
      <c r="C183" s="140"/>
      <c r="D183" s="159"/>
      <c r="E183" s="13"/>
      <c r="F183" s="29"/>
      <c r="G183" s="51"/>
      <c r="H183" s="159"/>
      <c r="I183" s="144"/>
      <c r="J183" s="52">
        <f t="shared" si="19"/>
        <v>8.2400225999999979</v>
      </c>
    </row>
    <row r="184" spans="1:10" x14ac:dyDescent="0.3">
      <c r="A184" s="150"/>
      <c r="B184" s="140"/>
      <c r="C184" s="140"/>
      <c r="D184" s="159"/>
      <c r="E184" s="13"/>
      <c r="F184" s="29"/>
      <c r="G184" s="51"/>
      <c r="H184" s="159"/>
      <c r="I184" s="144"/>
      <c r="J184" s="52">
        <f t="shared" si="19"/>
        <v>8.2400225999999979</v>
      </c>
    </row>
    <row r="185" spans="1:10" x14ac:dyDescent="0.3">
      <c r="A185" s="150"/>
      <c r="B185" s="140"/>
      <c r="C185" s="140"/>
      <c r="D185" s="159"/>
      <c r="E185" s="13"/>
      <c r="F185" s="29"/>
      <c r="G185" s="51"/>
      <c r="H185" s="159"/>
      <c r="I185" s="144"/>
      <c r="J185" s="52">
        <f>30044.03*1.18/1000</f>
        <v>35.451955399999996</v>
      </c>
    </row>
    <row r="186" spans="1:10" x14ac:dyDescent="0.3">
      <c r="A186" s="150"/>
      <c r="B186" s="140"/>
      <c r="C186" s="140"/>
      <c r="D186" s="159"/>
      <c r="E186" s="13"/>
      <c r="F186" s="29"/>
      <c r="G186" s="51"/>
      <c r="H186" s="159"/>
      <c r="I186" s="144"/>
      <c r="J186" s="52">
        <f>30044.03*1.18/1000</f>
        <v>35.451955399999996</v>
      </c>
    </row>
    <row r="187" spans="1:10" x14ac:dyDescent="0.3">
      <c r="A187" s="150"/>
      <c r="B187" s="140"/>
      <c r="C187" s="140"/>
      <c r="D187" s="159"/>
      <c r="E187" s="13"/>
      <c r="F187" s="29"/>
      <c r="G187" s="51"/>
      <c r="H187" s="159"/>
      <c r="I187" s="144"/>
      <c r="J187" s="52">
        <f>23064.16*1.18/1000</f>
        <v>27.215708799999998</v>
      </c>
    </row>
    <row r="188" spans="1:10" x14ac:dyDescent="0.3">
      <c r="A188" s="150"/>
      <c r="B188" s="138"/>
      <c r="C188" s="138"/>
      <c r="D188" s="158"/>
      <c r="E188" s="13"/>
      <c r="F188" s="29"/>
      <c r="G188" s="51"/>
      <c r="H188" s="158"/>
      <c r="I188" s="139"/>
      <c r="J188" s="52">
        <f>23064.16*1.18/1000</f>
        <v>27.215708799999998</v>
      </c>
    </row>
    <row r="189" spans="1:10" ht="41.4" x14ac:dyDescent="0.3">
      <c r="A189" s="150"/>
      <c r="B189" s="155" t="s">
        <v>67</v>
      </c>
      <c r="C189" s="145" t="s">
        <v>68</v>
      </c>
      <c r="D189" s="143">
        <v>227158.85084</v>
      </c>
      <c r="E189" s="13">
        <v>19205.041499999999</v>
      </c>
      <c r="F189" s="29" t="s">
        <v>274</v>
      </c>
      <c r="G189" s="13">
        <f t="shared" ref="G189:G284" si="20">E189</f>
        <v>19205.041499999999</v>
      </c>
      <c r="H189" s="13">
        <f>J189</f>
        <v>10614.570666599999</v>
      </c>
      <c r="I189" s="29" t="s">
        <v>275</v>
      </c>
      <c r="J189" s="52">
        <f>8995398.87*1.18/1000</f>
        <v>10614.570666599999</v>
      </c>
    </row>
    <row r="190" spans="1:10" ht="41.4" x14ac:dyDescent="0.3">
      <c r="A190" s="150"/>
      <c r="B190" s="179"/>
      <c r="C190" s="140"/>
      <c r="D190" s="144"/>
      <c r="E190" s="13">
        <v>9553.1136000000006</v>
      </c>
      <c r="F190" s="29" t="s">
        <v>276</v>
      </c>
      <c r="G190" s="13">
        <f>E190</f>
        <v>9553.1136000000006</v>
      </c>
      <c r="H190" s="13">
        <f>J190</f>
        <v>11863.081820599999</v>
      </c>
      <c r="I190" s="29" t="s">
        <v>277</v>
      </c>
      <c r="J190" s="52">
        <f>10053459.17*1.18/1000</f>
        <v>11863.081820599999</v>
      </c>
    </row>
    <row r="191" spans="1:10" ht="27.6" x14ac:dyDescent="0.3">
      <c r="A191" s="150"/>
      <c r="B191" s="179"/>
      <c r="C191" s="140"/>
      <c r="D191" s="144"/>
      <c r="E191" s="143">
        <f>G191+G192</f>
        <v>26518.388420000003</v>
      </c>
      <c r="F191" s="13" t="s">
        <v>278</v>
      </c>
      <c r="G191" s="13">
        <f>10676773.64/1000</f>
        <v>10676.773640000001</v>
      </c>
      <c r="H191" s="143">
        <f>J191+J192+J193+J194</f>
        <v>17601.794204999998</v>
      </c>
      <c r="I191" s="143" t="s">
        <v>279</v>
      </c>
      <c r="J191" s="52">
        <f>14038737.54*1.18/1000</f>
        <v>16565.710297199999</v>
      </c>
    </row>
    <row r="192" spans="1:10" ht="27.6" x14ac:dyDescent="0.3">
      <c r="A192" s="150"/>
      <c r="B192" s="179"/>
      <c r="C192" s="140"/>
      <c r="D192" s="144"/>
      <c r="E192" s="139"/>
      <c r="F192" s="13" t="s">
        <v>280</v>
      </c>
      <c r="G192" s="13">
        <f>15841614.78/1000</f>
        <v>15841.61478</v>
      </c>
      <c r="H192" s="144"/>
      <c r="I192" s="144"/>
      <c r="J192" s="52">
        <f>66364.31*1.18/1000</f>
        <v>78.309885799999989</v>
      </c>
    </row>
    <row r="193" spans="1:10" x14ac:dyDescent="0.3">
      <c r="A193" s="150"/>
      <c r="B193" s="179"/>
      <c r="C193" s="140"/>
      <c r="D193" s="144"/>
      <c r="E193" s="13"/>
      <c r="F193" s="29"/>
      <c r="G193" s="13"/>
      <c r="H193" s="144"/>
      <c r="I193" s="144"/>
      <c r="J193" s="52">
        <f>405836.45*1.18/1000</f>
        <v>478.88701099999997</v>
      </c>
    </row>
    <row r="194" spans="1:10" x14ac:dyDescent="0.3">
      <c r="A194" s="150"/>
      <c r="B194" s="179"/>
      <c r="C194" s="140"/>
      <c r="D194" s="144"/>
      <c r="E194" s="13"/>
      <c r="F194" s="29"/>
      <c r="G194" s="13"/>
      <c r="H194" s="139"/>
      <c r="I194" s="139"/>
      <c r="J194" s="52">
        <f>405836.45*1.18/1000</f>
        <v>478.88701099999997</v>
      </c>
    </row>
    <row r="195" spans="1:10" x14ac:dyDescent="0.3">
      <c r="A195" s="150"/>
      <c r="B195" s="179"/>
      <c r="C195" s="140"/>
      <c r="D195" s="144"/>
      <c r="E195" s="13"/>
      <c r="F195" s="29"/>
      <c r="G195" s="13"/>
      <c r="H195" s="157">
        <f>J195+J196</f>
        <v>6221.994954400001</v>
      </c>
      <c r="I195" s="143" t="s">
        <v>281</v>
      </c>
      <c r="J195" s="180">
        <f>4800777.08*1.18/1000+472100*1.18/1000</f>
        <v>6221.994954400001</v>
      </c>
    </row>
    <row r="196" spans="1:10" x14ac:dyDescent="0.3">
      <c r="A196" s="150"/>
      <c r="B196" s="179"/>
      <c r="C196" s="140"/>
      <c r="D196" s="144"/>
      <c r="E196" s="13"/>
      <c r="F196" s="29"/>
      <c r="G196" s="13"/>
      <c r="H196" s="158"/>
      <c r="I196" s="139"/>
      <c r="J196" s="142"/>
    </row>
    <row r="197" spans="1:10" x14ac:dyDescent="0.3">
      <c r="A197" s="150"/>
      <c r="B197" s="179"/>
      <c r="C197" s="140"/>
      <c r="D197" s="144"/>
      <c r="E197" s="13"/>
      <c r="F197" s="29"/>
      <c r="G197" s="13"/>
      <c r="H197" s="143">
        <f>J197+J198+J199+J200+J201</f>
        <v>4990.1547695999998</v>
      </c>
      <c r="I197" s="143" t="s">
        <v>282</v>
      </c>
      <c r="J197" s="14">
        <f>218247.42*1.18/1000</f>
        <v>257.5319556</v>
      </c>
    </row>
    <row r="198" spans="1:10" x14ac:dyDescent="0.3">
      <c r="A198" s="150"/>
      <c r="B198" s="179"/>
      <c r="C198" s="140"/>
      <c r="D198" s="144"/>
      <c r="E198" s="13"/>
      <c r="F198" s="29"/>
      <c r="G198" s="13"/>
      <c r="H198" s="144"/>
      <c r="I198" s="144"/>
      <c r="J198" s="14">
        <f>901480.02*1.18/1000</f>
        <v>1063.7464235999998</v>
      </c>
    </row>
    <row r="199" spans="1:10" x14ac:dyDescent="0.3">
      <c r="A199" s="150"/>
      <c r="B199" s="179"/>
      <c r="C199" s="140"/>
      <c r="D199" s="144"/>
      <c r="E199" s="13"/>
      <c r="F199" s="29"/>
      <c r="G199" s="13"/>
      <c r="H199" s="144"/>
      <c r="I199" s="144"/>
      <c r="J199" s="14">
        <f>68758.15*1.18/1000</f>
        <v>81.134616999999977</v>
      </c>
    </row>
    <row r="200" spans="1:10" x14ac:dyDescent="0.3">
      <c r="A200" s="150"/>
      <c r="B200" s="179"/>
      <c r="C200" s="140"/>
      <c r="D200" s="144"/>
      <c r="E200" s="13"/>
      <c r="F200" s="29"/>
      <c r="G200" s="13"/>
      <c r="H200" s="144"/>
      <c r="I200" s="144"/>
      <c r="J200" s="14">
        <f>414947.7*1.18/1000</f>
        <v>489.63828599999994</v>
      </c>
    </row>
    <row r="201" spans="1:10" x14ac:dyDescent="0.3">
      <c r="A201" s="150"/>
      <c r="B201" s="179"/>
      <c r="C201" s="140"/>
      <c r="D201" s="144"/>
      <c r="E201" s="13"/>
      <c r="F201" s="29"/>
      <c r="G201" s="13"/>
      <c r="H201" s="144"/>
      <c r="I201" s="139"/>
      <c r="J201" s="14">
        <f>2625511.43*1.18/1000</f>
        <v>3098.1034874000002</v>
      </c>
    </row>
    <row r="202" spans="1:10" x14ac:dyDescent="0.3">
      <c r="A202" s="150"/>
      <c r="B202" s="179"/>
      <c r="C202" s="140"/>
      <c r="D202" s="144"/>
      <c r="E202" s="13"/>
      <c r="F202" s="29"/>
      <c r="G202" s="13"/>
      <c r="H202" s="135">
        <f>J202+J203+J204+J205+J206+J207</f>
        <v>19046.415494399997</v>
      </c>
      <c r="I202" s="143" t="s">
        <v>283</v>
      </c>
      <c r="J202" s="14">
        <f>5299352.35*1.18/1000</f>
        <v>6253.2357729999994</v>
      </c>
    </row>
    <row r="203" spans="1:10" x14ac:dyDescent="0.3">
      <c r="A203" s="150"/>
      <c r="B203" s="179"/>
      <c r="C203" s="140"/>
      <c r="D203" s="144"/>
      <c r="E203" s="13"/>
      <c r="F203" s="29"/>
      <c r="G203" s="13"/>
      <c r="H203" s="135"/>
      <c r="I203" s="144"/>
      <c r="J203" s="14">
        <f>87812.6*1.18/1000</f>
        <v>103.61886800000001</v>
      </c>
    </row>
    <row r="204" spans="1:10" x14ac:dyDescent="0.3">
      <c r="A204" s="150"/>
      <c r="B204" s="179"/>
      <c r="C204" s="140"/>
      <c r="D204" s="144"/>
      <c r="E204" s="13"/>
      <c r="F204" s="29"/>
      <c r="G204" s="13"/>
      <c r="H204" s="135"/>
      <c r="I204" s="144"/>
      <c r="J204" s="14">
        <f>39964.03*1.18/1000</f>
        <v>47.1575554</v>
      </c>
    </row>
    <row r="205" spans="1:10" x14ac:dyDescent="0.3">
      <c r="A205" s="150"/>
      <c r="B205" s="179"/>
      <c r="C205" s="140"/>
      <c r="D205" s="144"/>
      <c r="E205" s="13"/>
      <c r="F205" s="29"/>
      <c r="G205" s="13"/>
      <c r="H205" s="135"/>
      <c r="I205" s="144"/>
      <c r="J205" s="14">
        <f>3727918*1.18/1000</f>
        <v>4398.9432400000005</v>
      </c>
    </row>
    <row r="206" spans="1:10" x14ac:dyDescent="0.3">
      <c r="A206" s="150"/>
      <c r="B206" s="179"/>
      <c r="C206" s="140"/>
      <c r="D206" s="144"/>
      <c r="E206" s="13"/>
      <c r="F206" s="29"/>
      <c r="G206" s="13"/>
      <c r="H206" s="135"/>
      <c r="I206" s="144"/>
      <c r="J206" s="14">
        <f>3402762.19*1.18/1000</f>
        <v>4015.2593841999997</v>
      </c>
    </row>
    <row r="207" spans="1:10" x14ac:dyDescent="0.3">
      <c r="A207" s="150"/>
      <c r="B207" s="179"/>
      <c r="C207" s="140"/>
      <c r="D207" s="144"/>
      <c r="E207" s="13"/>
      <c r="F207" s="29"/>
      <c r="G207" s="13"/>
      <c r="H207" s="135"/>
      <c r="I207" s="139"/>
      <c r="J207" s="14">
        <f>3583220.91*1.18/1000</f>
        <v>4228.2006738</v>
      </c>
    </row>
    <row r="208" spans="1:10" x14ac:dyDescent="0.3">
      <c r="A208" s="150"/>
      <c r="B208" s="179"/>
      <c r="C208" s="140"/>
      <c r="D208" s="144"/>
      <c r="E208" s="13"/>
      <c r="F208" s="29"/>
      <c r="G208" s="13"/>
      <c r="H208" s="143">
        <f>J208+J209+J210+J211+J212+J213+J214</f>
        <v>12111.368216599998</v>
      </c>
      <c r="I208" s="143" t="s">
        <v>284</v>
      </c>
      <c r="J208" s="14">
        <f>2624254.98*1.18/1000</f>
        <v>3096.6208763999998</v>
      </c>
    </row>
    <row r="209" spans="1:10" x14ac:dyDescent="0.3">
      <c r="A209" s="150"/>
      <c r="B209" s="179"/>
      <c r="C209" s="140"/>
      <c r="D209" s="144"/>
      <c r="E209" s="13"/>
      <c r="F209" s="29"/>
      <c r="G209" s="13"/>
      <c r="H209" s="144"/>
      <c r="I209" s="144"/>
      <c r="J209" s="14">
        <f>3072567.69*1.18/1000</f>
        <v>3625.6298741999999</v>
      </c>
    </row>
    <row r="210" spans="1:10" x14ac:dyDescent="0.3">
      <c r="A210" s="150"/>
      <c r="B210" s="179"/>
      <c r="C210" s="140"/>
      <c r="D210" s="144"/>
      <c r="E210" s="13"/>
      <c r="F210" s="29"/>
      <c r="G210" s="13"/>
      <c r="H210" s="144"/>
      <c r="I210" s="144"/>
      <c r="J210" s="14">
        <f>2641121*1.18/1000</f>
        <v>3116.5227799999998</v>
      </c>
    </row>
    <row r="211" spans="1:10" x14ac:dyDescent="0.3">
      <c r="A211" s="150"/>
      <c r="B211" s="179"/>
      <c r="C211" s="140"/>
      <c r="D211" s="144"/>
      <c r="E211" s="13"/>
      <c r="F211" s="29"/>
      <c r="G211" s="13"/>
      <c r="H211" s="144"/>
      <c r="I211" s="144"/>
      <c r="J211" s="14">
        <f>540927.45*1.18/1000</f>
        <v>638.29439099999991</v>
      </c>
    </row>
    <row r="212" spans="1:10" x14ac:dyDescent="0.3">
      <c r="A212" s="150"/>
      <c r="B212" s="179"/>
      <c r="C212" s="140"/>
      <c r="D212" s="144"/>
      <c r="E212" s="13"/>
      <c r="F212" s="29"/>
      <c r="G212" s="13"/>
      <c r="H212" s="144"/>
      <c r="I212" s="144"/>
      <c r="J212" s="14">
        <f>540927.45*1.18/1000</f>
        <v>638.29439099999991</v>
      </c>
    </row>
    <row r="213" spans="1:10" x14ac:dyDescent="0.3">
      <c r="A213" s="150"/>
      <c r="B213" s="179"/>
      <c r="C213" s="140"/>
      <c r="D213" s="144"/>
      <c r="E213" s="13"/>
      <c r="F213" s="29"/>
      <c r="G213" s="13"/>
      <c r="H213" s="144"/>
      <c r="I213" s="144"/>
      <c r="J213" s="14">
        <f>99148.67*1.18/1000</f>
        <v>116.99543059999999</v>
      </c>
    </row>
    <row r="214" spans="1:10" x14ac:dyDescent="0.3">
      <c r="A214" s="150"/>
      <c r="B214" s="179"/>
      <c r="C214" s="140"/>
      <c r="D214" s="144"/>
      <c r="E214" s="13"/>
      <c r="F214" s="29"/>
      <c r="G214" s="13"/>
      <c r="H214" s="139"/>
      <c r="I214" s="139"/>
      <c r="J214" s="14">
        <f>744924.13*1.18/1000</f>
        <v>879.01047340000002</v>
      </c>
    </row>
    <row r="215" spans="1:10" x14ac:dyDescent="0.3">
      <c r="A215" s="150"/>
      <c r="B215" s="179"/>
      <c r="C215" s="140"/>
      <c r="D215" s="144"/>
      <c r="E215" s="13"/>
      <c r="F215" s="29"/>
      <c r="G215" s="13"/>
      <c r="H215" s="143">
        <f>J215+J216+J217+J218+J219+J220+J221+J222</f>
        <v>5534.805339999999</v>
      </c>
      <c r="I215" s="143" t="s">
        <v>285</v>
      </c>
      <c r="J215" s="14">
        <f>244163.33*1.18/1000</f>
        <v>288.11272939999998</v>
      </c>
    </row>
    <row r="216" spans="1:10" x14ac:dyDescent="0.3">
      <c r="A216" s="150"/>
      <c r="B216" s="179"/>
      <c r="C216" s="140"/>
      <c r="D216" s="144"/>
      <c r="E216" s="13"/>
      <c r="F216" s="29"/>
      <c r="G216" s="13"/>
      <c r="H216" s="144"/>
      <c r="I216" s="144"/>
      <c r="J216" s="14">
        <f>244163.33*1.18/1000</f>
        <v>288.11272939999998</v>
      </c>
    </row>
    <row r="217" spans="1:10" x14ac:dyDescent="0.3">
      <c r="A217" s="150"/>
      <c r="B217" s="179"/>
      <c r="C217" s="140"/>
      <c r="D217" s="144"/>
      <c r="E217" s="13"/>
      <c r="F217" s="29"/>
      <c r="G217" s="13"/>
      <c r="H217" s="144"/>
      <c r="I217" s="144"/>
      <c r="J217" s="14">
        <f>244163.32*1.18/1000</f>
        <v>288.1127176</v>
      </c>
    </row>
    <row r="218" spans="1:10" x14ac:dyDescent="0.3">
      <c r="A218" s="150"/>
      <c r="B218" s="179"/>
      <c r="C218" s="140"/>
      <c r="D218" s="144"/>
      <c r="E218" s="13"/>
      <c r="F218" s="29"/>
      <c r="G218" s="13"/>
      <c r="H218" s="144"/>
      <c r="I218" s="144"/>
      <c r="J218" s="14">
        <f>244163.32*1.18/1000</f>
        <v>288.1127176</v>
      </c>
    </row>
    <row r="219" spans="1:10" x14ac:dyDescent="0.3">
      <c r="A219" s="150"/>
      <c r="B219" s="179"/>
      <c r="C219" s="140"/>
      <c r="D219" s="144"/>
      <c r="E219" s="13"/>
      <c r="F219" s="29"/>
      <c r="G219" s="13"/>
      <c r="H219" s="144"/>
      <c r="I219" s="144"/>
      <c r="J219" s="14">
        <f>1050490.64*1.18/1000</f>
        <v>1239.5789551999997</v>
      </c>
    </row>
    <row r="220" spans="1:10" x14ac:dyDescent="0.3">
      <c r="A220" s="150"/>
      <c r="B220" s="179"/>
      <c r="C220" s="140"/>
      <c r="D220" s="144"/>
      <c r="E220" s="13"/>
      <c r="F220" s="29"/>
      <c r="G220" s="13"/>
      <c r="H220" s="144"/>
      <c r="I220" s="144"/>
      <c r="J220" s="14">
        <f>1050490.64*1.18/1000</f>
        <v>1239.5789551999997</v>
      </c>
    </row>
    <row r="221" spans="1:10" x14ac:dyDescent="0.3">
      <c r="A221" s="150"/>
      <c r="B221" s="179"/>
      <c r="C221" s="140"/>
      <c r="D221" s="144"/>
      <c r="E221" s="13"/>
      <c r="F221" s="29"/>
      <c r="G221" s="13"/>
      <c r="H221" s="144"/>
      <c r="I221" s="144"/>
      <c r="J221" s="14">
        <f>806439.21*1.18/1000</f>
        <v>951.59826779999992</v>
      </c>
    </row>
    <row r="222" spans="1:10" x14ac:dyDescent="0.3">
      <c r="A222" s="150"/>
      <c r="B222" s="179"/>
      <c r="C222" s="140"/>
      <c r="D222" s="144"/>
      <c r="E222" s="13"/>
      <c r="F222" s="29"/>
      <c r="G222" s="13"/>
      <c r="H222" s="139"/>
      <c r="I222" s="139"/>
      <c r="J222" s="14">
        <f>806439.21*1.18/1000</f>
        <v>951.59826779999992</v>
      </c>
    </row>
    <row r="223" spans="1:10" ht="27.6" x14ac:dyDescent="0.3">
      <c r="A223" s="150"/>
      <c r="B223" s="179"/>
      <c r="C223" s="140"/>
      <c r="D223" s="144"/>
      <c r="E223" s="13"/>
      <c r="F223" s="29"/>
      <c r="G223" s="13"/>
      <c r="H223" s="144">
        <f>J223+J224+J225+J226+J227</f>
        <v>13085.632195800001</v>
      </c>
      <c r="I223" s="13" t="s">
        <v>286</v>
      </c>
      <c r="J223" s="14">
        <f>2512704*1.18/1000</f>
        <v>2964.9907199999998</v>
      </c>
    </row>
    <row r="224" spans="1:10" ht="27.6" x14ac:dyDescent="0.3">
      <c r="A224" s="150"/>
      <c r="B224" s="179"/>
      <c r="C224" s="140"/>
      <c r="D224" s="144"/>
      <c r="E224" s="13"/>
      <c r="F224" s="29"/>
      <c r="G224" s="13"/>
      <c r="H224" s="144"/>
      <c r="I224" s="13" t="s">
        <v>287</v>
      </c>
      <c r="J224" s="52">
        <v>430.50885179999995</v>
      </c>
    </row>
    <row r="225" spans="1:10" ht="27.6" x14ac:dyDescent="0.3">
      <c r="A225" s="150"/>
      <c r="B225" s="179"/>
      <c r="C225" s="140"/>
      <c r="D225" s="144"/>
      <c r="E225" s="13"/>
      <c r="F225" s="29"/>
      <c r="G225" s="13"/>
      <c r="H225" s="144"/>
      <c r="I225" s="13" t="s">
        <v>288</v>
      </c>
      <c r="J225" s="14">
        <f>724183.25*1.18/1000</f>
        <v>854.53623500000003</v>
      </c>
    </row>
    <row r="226" spans="1:10" ht="27.6" x14ac:dyDescent="0.3">
      <c r="A226" s="150"/>
      <c r="B226" s="179"/>
      <c r="C226" s="140"/>
      <c r="D226" s="144"/>
      <c r="E226" s="13"/>
      <c r="F226" s="29"/>
      <c r="G226" s="13"/>
      <c r="H226" s="144"/>
      <c r="I226" s="13" t="s">
        <v>289</v>
      </c>
      <c r="J226" s="14">
        <f>680088*1.18/1000</f>
        <v>802.50383999999997</v>
      </c>
    </row>
    <row r="227" spans="1:10" ht="27.6" x14ac:dyDescent="0.3">
      <c r="A227" s="150"/>
      <c r="B227" s="156"/>
      <c r="C227" s="138"/>
      <c r="D227" s="139"/>
      <c r="E227" s="13"/>
      <c r="F227" s="29"/>
      <c r="G227" s="13"/>
      <c r="H227" s="139"/>
      <c r="I227" s="13" t="s">
        <v>290</v>
      </c>
      <c r="J227" s="14">
        <f>6807705.55*1.18/1000</f>
        <v>8033.092549</v>
      </c>
    </row>
    <row r="228" spans="1:10" ht="27.6" x14ac:dyDescent="0.3">
      <c r="A228" s="150"/>
      <c r="B228" s="53" t="s">
        <v>69</v>
      </c>
      <c r="C228" s="28" t="s">
        <v>291</v>
      </c>
      <c r="D228" s="13">
        <v>13944.00001</v>
      </c>
      <c r="E228" s="13">
        <v>13944.00001</v>
      </c>
      <c r="F228" s="29" t="s">
        <v>292</v>
      </c>
      <c r="G228" s="13">
        <f t="shared" si="20"/>
        <v>13944.00001</v>
      </c>
      <c r="H228" s="51"/>
      <c r="I228" s="29"/>
      <c r="J228" s="14"/>
    </row>
    <row r="229" spans="1:10" ht="27.6" x14ac:dyDescent="0.3">
      <c r="A229" s="150"/>
      <c r="B229" s="53" t="s">
        <v>30</v>
      </c>
      <c r="C229" s="28" t="s">
        <v>293</v>
      </c>
      <c r="D229" s="13">
        <v>5175.5789999999997</v>
      </c>
      <c r="E229" s="13">
        <v>5175.5789999999997</v>
      </c>
      <c r="F229" s="29" t="s">
        <v>294</v>
      </c>
      <c r="G229" s="13">
        <f t="shared" si="20"/>
        <v>5175.5789999999997</v>
      </c>
      <c r="H229" s="51">
        <f>J229</f>
        <v>0</v>
      </c>
      <c r="I229" s="29"/>
      <c r="J229" s="52"/>
    </row>
    <row r="230" spans="1:10" ht="27.6" x14ac:dyDescent="0.3">
      <c r="A230" s="150"/>
      <c r="B230" s="53" t="s">
        <v>30</v>
      </c>
      <c r="C230" s="28" t="s">
        <v>295</v>
      </c>
      <c r="D230" s="13">
        <v>5084.0429999999997</v>
      </c>
      <c r="E230" s="13">
        <v>5084.0429999999997</v>
      </c>
      <c r="F230" s="29" t="s">
        <v>296</v>
      </c>
      <c r="G230" s="13">
        <f t="shared" si="20"/>
        <v>5084.0429999999997</v>
      </c>
      <c r="H230" s="51"/>
      <c r="I230" s="29"/>
      <c r="J230" s="52"/>
    </row>
    <row r="231" spans="1:10" ht="41.4" x14ac:dyDescent="0.3">
      <c r="A231" s="150"/>
      <c r="B231" s="30" t="s">
        <v>297</v>
      </c>
      <c r="C231" s="30" t="s">
        <v>298</v>
      </c>
      <c r="D231" s="13">
        <v>6690</v>
      </c>
      <c r="E231" s="13">
        <v>6690</v>
      </c>
      <c r="F231" s="27" t="s">
        <v>299</v>
      </c>
      <c r="G231" s="13">
        <f t="shared" si="20"/>
        <v>6690</v>
      </c>
      <c r="H231" s="13">
        <f>J231</f>
        <v>6690.0000054000002</v>
      </c>
      <c r="I231" s="27" t="s">
        <v>300</v>
      </c>
      <c r="J231" s="14">
        <f>5669491.53*1.18/1000</f>
        <v>6690.0000054000002</v>
      </c>
    </row>
    <row r="232" spans="1:10" ht="41.4" x14ac:dyDescent="0.3">
      <c r="A232" s="150"/>
      <c r="B232" s="30" t="s">
        <v>297</v>
      </c>
      <c r="C232" s="30" t="s">
        <v>301</v>
      </c>
      <c r="D232" s="13">
        <v>26390</v>
      </c>
      <c r="E232" s="13">
        <v>26390</v>
      </c>
      <c r="F232" s="27" t="s">
        <v>302</v>
      </c>
      <c r="G232" s="13">
        <f t="shared" si="20"/>
        <v>26390</v>
      </c>
      <c r="H232" s="13">
        <v>26390</v>
      </c>
      <c r="I232" s="27" t="s">
        <v>303</v>
      </c>
      <c r="J232" s="14">
        <f>22364406.78*1.18/1000</f>
        <v>26390.000000399999</v>
      </c>
    </row>
    <row r="233" spans="1:10" ht="27.6" x14ac:dyDescent="0.3">
      <c r="A233" s="150"/>
      <c r="B233" s="12" t="s">
        <v>304</v>
      </c>
      <c r="C233" s="12" t="s">
        <v>305</v>
      </c>
      <c r="D233" s="13">
        <f>84500/1000</f>
        <v>84.5</v>
      </c>
      <c r="E233" s="13">
        <f>G233</f>
        <v>84.5</v>
      </c>
      <c r="F233" s="13" t="s">
        <v>306</v>
      </c>
      <c r="G233" s="15">
        <f>84500/1000</f>
        <v>84.5</v>
      </c>
      <c r="H233" s="15">
        <f>J233</f>
        <v>84.5</v>
      </c>
      <c r="I233" s="13" t="s">
        <v>307</v>
      </c>
      <c r="J233" s="14">
        <v>84.5</v>
      </c>
    </row>
    <row r="234" spans="1:10" ht="27.6" x14ac:dyDescent="0.3">
      <c r="A234" s="150"/>
      <c r="B234" s="12" t="s">
        <v>308</v>
      </c>
      <c r="C234" s="12" t="s">
        <v>309</v>
      </c>
      <c r="D234" s="13">
        <f>84700/1000</f>
        <v>84.7</v>
      </c>
      <c r="E234" s="13"/>
      <c r="F234" s="13"/>
      <c r="G234" s="15"/>
      <c r="H234" s="15">
        <f>J234</f>
        <v>84.7</v>
      </c>
      <c r="I234" s="13" t="s">
        <v>310</v>
      </c>
      <c r="J234" s="14">
        <f>84700/1000</f>
        <v>84.7</v>
      </c>
    </row>
    <row r="235" spans="1:10" ht="27.6" x14ac:dyDescent="0.3">
      <c r="A235" s="150"/>
      <c r="B235" s="12" t="s">
        <v>311</v>
      </c>
      <c r="C235" s="12" t="s">
        <v>312</v>
      </c>
      <c r="D235" s="13"/>
      <c r="E235" s="13">
        <f>G235</f>
        <v>5599.7954600000003</v>
      </c>
      <c r="F235" s="13" t="s">
        <v>313</v>
      </c>
      <c r="G235" s="15">
        <f>5599795.46/1000</f>
        <v>5599.7954600000003</v>
      </c>
      <c r="H235" s="15"/>
      <c r="I235" s="13"/>
      <c r="J235" s="14"/>
    </row>
    <row r="236" spans="1:10" x14ac:dyDescent="0.3">
      <c r="A236" s="150"/>
      <c r="B236" s="134" t="s">
        <v>163</v>
      </c>
      <c r="C236" s="134"/>
      <c r="D236" s="27" t="s">
        <v>13</v>
      </c>
      <c r="E236" s="13">
        <f t="shared" ref="E236:E240" si="21">G236</f>
        <v>74.195179999999993</v>
      </c>
      <c r="F236" s="12" t="s">
        <v>13</v>
      </c>
      <c r="G236" s="13">
        <v>74.195179999999993</v>
      </c>
      <c r="H236" s="13">
        <f t="shared" ref="H236:H240" si="22">J236</f>
        <v>74.195179999999993</v>
      </c>
      <c r="I236" s="27" t="s">
        <v>13</v>
      </c>
      <c r="J236" s="14">
        <v>74.195179999999993</v>
      </c>
    </row>
    <row r="237" spans="1:10" x14ac:dyDescent="0.3">
      <c r="A237" s="150"/>
      <c r="B237" s="138" t="s">
        <v>164</v>
      </c>
      <c r="C237" s="138"/>
      <c r="D237" s="47" t="s">
        <v>13</v>
      </c>
      <c r="E237" s="48">
        <f t="shared" si="21"/>
        <v>153.33672000000001</v>
      </c>
      <c r="F237" s="54" t="s">
        <v>13</v>
      </c>
      <c r="G237" s="48">
        <v>153.33672000000001</v>
      </c>
      <c r="H237" s="48">
        <f t="shared" si="22"/>
        <v>153.33672000000001</v>
      </c>
      <c r="I237" s="47" t="s">
        <v>13</v>
      </c>
      <c r="J237" s="55">
        <v>153.33672000000001</v>
      </c>
    </row>
    <row r="238" spans="1:10" x14ac:dyDescent="0.3">
      <c r="A238" s="150"/>
      <c r="B238" s="134" t="s">
        <v>17</v>
      </c>
      <c r="C238" s="134"/>
      <c r="D238" s="27" t="s">
        <v>13</v>
      </c>
      <c r="E238" s="13">
        <f t="shared" si="21"/>
        <v>148.39036999999999</v>
      </c>
      <c r="F238" s="12" t="s">
        <v>13</v>
      </c>
      <c r="G238" s="13">
        <f>148390.37/1000</f>
        <v>148.39036999999999</v>
      </c>
      <c r="H238" s="13">
        <f t="shared" si="22"/>
        <v>148.39036999999999</v>
      </c>
      <c r="I238" s="12" t="s">
        <v>13</v>
      </c>
      <c r="J238" s="14">
        <f>148390.37/1000</f>
        <v>148.39036999999999</v>
      </c>
    </row>
    <row r="239" spans="1:10" x14ac:dyDescent="0.3">
      <c r="A239" s="150"/>
      <c r="B239" s="138" t="s">
        <v>18</v>
      </c>
      <c r="C239" s="138"/>
      <c r="D239" s="47" t="s">
        <v>13</v>
      </c>
      <c r="E239" s="48">
        <f t="shared" si="21"/>
        <v>153.33672000000001</v>
      </c>
      <c r="F239" s="54" t="s">
        <v>13</v>
      </c>
      <c r="G239" s="48">
        <f>153336.72/1000</f>
        <v>153.33672000000001</v>
      </c>
      <c r="H239" s="48">
        <f t="shared" si="22"/>
        <v>153.33672000000001</v>
      </c>
      <c r="I239" s="54" t="s">
        <v>13</v>
      </c>
      <c r="J239" s="55">
        <f>153336.72/1000</f>
        <v>153.33672000000001</v>
      </c>
    </row>
    <row r="240" spans="1:10" ht="15" thickBot="1" x14ac:dyDescent="0.35">
      <c r="A240" s="151"/>
      <c r="B240" s="138" t="s">
        <v>19</v>
      </c>
      <c r="C240" s="138"/>
      <c r="D240" s="39" t="s">
        <v>13</v>
      </c>
      <c r="E240" s="38">
        <f t="shared" si="21"/>
        <v>813.30943000000002</v>
      </c>
      <c r="F240" s="54" t="s">
        <v>13</v>
      </c>
      <c r="G240" s="48">
        <f>813309.43/1000</f>
        <v>813.30943000000002</v>
      </c>
      <c r="H240" s="38">
        <f t="shared" si="22"/>
        <v>813.30943000000002</v>
      </c>
      <c r="I240" s="54" t="s">
        <v>13</v>
      </c>
      <c r="J240" s="55">
        <f>813309.43/1000</f>
        <v>813.30943000000002</v>
      </c>
    </row>
    <row r="241" spans="1:10" ht="27.6" x14ac:dyDescent="0.3">
      <c r="A241" s="146" t="s">
        <v>45</v>
      </c>
      <c r="B241" s="35" t="s">
        <v>88</v>
      </c>
      <c r="C241" s="35" t="s">
        <v>314</v>
      </c>
      <c r="D241" s="20">
        <v>5648.6285099999996</v>
      </c>
      <c r="E241" s="20">
        <v>403.79244</v>
      </c>
      <c r="F241" s="19" t="s">
        <v>315</v>
      </c>
      <c r="G241" s="20">
        <f>E241</f>
        <v>403.79244</v>
      </c>
      <c r="H241" s="20"/>
      <c r="I241" s="19"/>
      <c r="J241" s="21"/>
    </row>
    <row r="242" spans="1:10" ht="28.2" thickBot="1" x14ac:dyDescent="0.35">
      <c r="A242" s="147"/>
      <c r="B242" s="17" t="s">
        <v>59</v>
      </c>
      <c r="C242" s="17" t="s">
        <v>269</v>
      </c>
      <c r="D242" s="16"/>
      <c r="E242" s="16">
        <v>88.874720800000006</v>
      </c>
      <c r="F242" s="17" t="s">
        <v>199</v>
      </c>
      <c r="G242" s="16">
        <f>75317.56*1.18/1000</f>
        <v>88.874720799999992</v>
      </c>
      <c r="H242" s="16"/>
      <c r="I242" s="22"/>
      <c r="J242" s="18"/>
    </row>
    <row r="243" spans="1:10" ht="42" thickBot="1" x14ac:dyDescent="0.35">
      <c r="A243" s="36" t="s">
        <v>46</v>
      </c>
      <c r="B243" s="79" t="s">
        <v>74</v>
      </c>
      <c r="C243" s="56" t="s">
        <v>89</v>
      </c>
      <c r="D243" s="32">
        <v>1914.41255</v>
      </c>
      <c r="E243" s="38">
        <v>1033.0551800000001</v>
      </c>
      <c r="F243" s="37" t="s">
        <v>316</v>
      </c>
      <c r="G243" s="39">
        <f>E243</f>
        <v>1033.0551800000001</v>
      </c>
      <c r="H243" s="39"/>
      <c r="I243" s="37"/>
      <c r="J243" s="92"/>
    </row>
    <row r="244" spans="1:10" ht="27.6" x14ac:dyDescent="0.3">
      <c r="A244" s="182" t="s">
        <v>47</v>
      </c>
      <c r="B244" s="134" t="s">
        <v>317</v>
      </c>
      <c r="C244" s="134" t="s">
        <v>48</v>
      </c>
      <c r="D244" s="135">
        <v>118900</v>
      </c>
      <c r="E244" s="164">
        <f>20711.78131+G245+G246+G247+G248</f>
        <v>35882.597629999997</v>
      </c>
      <c r="F244" s="28" t="s">
        <v>318</v>
      </c>
      <c r="G244" s="30">
        <v>20711.781309999998</v>
      </c>
      <c r="H244" s="181">
        <f>J244+J245+J246+J247+J248+J249+J250+J251</f>
        <v>42393.168520000007</v>
      </c>
      <c r="I244" s="30" t="s">
        <v>319</v>
      </c>
      <c r="J244" s="52">
        <f>1973431*1.18/1000</f>
        <v>2328.64858</v>
      </c>
    </row>
    <row r="245" spans="1:10" ht="27.6" x14ac:dyDescent="0.3">
      <c r="A245" s="166"/>
      <c r="B245" s="134"/>
      <c r="C245" s="134"/>
      <c r="D245" s="135"/>
      <c r="E245" s="153"/>
      <c r="F245" s="12" t="s">
        <v>320</v>
      </c>
      <c r="G245" s="13">
        <v>2328.64858</v>
      </c>
      <c r="H245" s="144"/>
      <c r="I245" s="27" t="s">
        <v>321</v>
      </c>
      <c r="J245" s="14">
        <f>4318436*1.18/1000</f>
        <v>5095.7544799999996</v>
      </c>
    </row>
    <row r="246" spans="1:10" ht="27.6" x14ac:dyDescent="0.3">
      <c r="A246" s="166"/>
      <c r="B246" s="134"/>
      <c r="C246" s="134"/>
      <c r="D246" s="135"/>
      <c r="E246" s="153"/>
      <c r="F246" s="12" t="s">
        <v>322</v>
      </c>
      <c r="G246" s="13">
        <f>2713115/1000</f>
        <v>2713.1149999999998</v>
      </c>
      <c r="H246" s="144"/>
      <c r="I246" s="27" t="s">
        <v>323</v>
      </c>
      <c r="J246" s="14">
        <f>2299250*1.18/1000</f>
        <v>2713.1149999999998</v>
      </c>
    </row>
    <row r="247" spans="1:10" ht="55.2" x14ac:dyDescent="0.3">
      <c r="A247" s="166"/>
      <c r="B247" s="134"/>
      <c r="C247" s="134"/>
      <c r="D247" s="135"/>
      <c r="E247" s="153"/>
      <c r="F247" s="12" t="s">
        <v>324</v>
      </c>
      <c r="G247" s="13">
        <f>5095754.48/1000</f>
        <v>5095.7544800000005</v>
      </c>
      <c r="H247" s="144"/>
      <c r="I247" s="27" t="s">
        <v>325</v>
      </c>
      <c r="J247" s="14">
        <f>4265507*1.18/1000</f>
        <v>5033.2982599999996</v>
      </c>
    </row>
    <row r="248" spans="1:10" ht="27.6" x14ac:dyDescent="0.3">
      <c r="A248" s="166"/>
      <c r="B248" s="134"/>
      <c r="C248" s="134"/>
      <c r="D248" s="135"/>
      <c r="E248" s="154"/>
      <c r="F248" s="12" t="s">
        <v>326</v>
      </c>
      <c r="G248" s="13">
        <f>5033298.26/1000</f>
        <v>5033.2982599999996</v>
      </c>
      <c r="H248" s="144"/>
      <c r="I248" s="27" t="s">
        <v>327</v>
      </c>
      <c r="J248" s="14">
        <f>10860599*1.18/1000</f>
        <v>12815.506819999999</v>
      </c>
    </row>
    <row r="249" spans="1:10" ht="27.6" x14ac:dyDescent="0.3">
      <c r="A249" s="166"/>
      <c r="B249" s="134"/>
      <c r="C249" s="134"/>
      <c r="D249" s="135"/>
      <c r="E249" s="47"/>
      <c r="F249" s="12"/>
      <c r="G249" s="13"/>
      <c r="H249" s="144"/>
      <c r="I249" s="27" t="s">
        <v>328</v>
      </c>
      <c r="J249" s="14">
        <f>8474042*1.18/1000</f>
        <v>9999.3695599999992</v>
      </c>
    </row>
    <row r="250" spans="1:10" ht="27.6" x14ac:dyDescent="0.3">
      <c r="A250" s="166"/>
      <c r="B250" s="134"/>
      <c r="C250" s="134"/>
      <c r="D250" s="135"/>
      <c r="E250" s="47"/>
      <c r="F250" s="12"/>
      <c r="G250" s="13"/>
      <c r="H250" s="144"/>
      <c r="I250" s="27" t="s">
        <v>329</v>
      </c>
      <c r="J250" s="14">
        <f>1701563*1.18/1000</f>
        <v>2007.8443399999999</v>
      </c>
    </row>
    <row r="251" spans="1:10" ht="27.6" x14ac:dyDescent="0.3">
      <c r="A251" s="166"/>
      <c r="B251" s="134"/>
      <c r="C251" s="134"/>
      <c r="D251" s="135"/>
      <c r="E251" s="47"/>
      <c r="F251" s="12"/>
      <c r="G251" s="13"/>
      <c r="H251" s="139"/>
      <c r="I251" s="27" t="s">
        <v>330</v>
      </c>
      <c r="J251" s="14">
        <f>2033586*1.18/1000</f>
        <v>2399.63148</v>
      </c>
    </row>
    <row r="252" spans="1:10" x14ac:dyDescent="0.3">
      <c r="A252" s="166"/>
      <c r="B252" s="160" t="s">
        <v>331</v>
      </c>
      <c r="C252" s="161"/>
      <c r="D252" s="162"/>
      <c r="E252" s="13">
        <v>261.54313999999999</v>
      </c>
      <c r="F252" s="12" t="s">
        <v>13</v>
      </c>
      <c r="G252" s="13">
        <f>261543.14/1000</f>
        <v>261.54313999999999</v>
      </c>
      <c r="H252" s="13">
        <v>261.54313999999999</v>
      </c>
      <c r="I252" s="12" t="s">
        <v>13</v>
      </c>
      <c r="J252" s="14">
        <f t="shared" ref="J252:J254" si="23">H252</f>
        <v>261.54313999999999</v>
      </c>
    </row>
    <row r="253" spans="1:10" x14ac:dyDescent="0.3">
      <c r="A253" s="166"/>
      <c r="B253" s="160" t="s">
        <v>163</v>
      </c>
      <c r="C253" s="161"/>
      <c r="D253" s="162"/>
      <c r="E253" s="13">
        <v>358.91514000000001</v>
      </c>
      <c r="F253" s="12" t="s">
        <v>13</v>
      </c>
      <c r="G253" s="13">
        <f>E253</f>
        <v>358.91514000000001</v>
      </c>
      <c r="H253" s="13">
        <v>358.91514000000001</v>
      </c>
      <c r="I253" s="12" t="s">
        <v>13</v>
      </c>
      <c r="J253" s="14">
        <f t="shared" si="23"/>
        <v>358.91514000000001</v>
      </c>
    </row>
    <row r="254" spans="1:10" x14ac:dyDescent="0.3">
      <c r="A254" s="166"/>
      <c r="B254" s="160" t="s">
        <v>164</v>
      </c>
      <c r="C254" s="161"/>
      <c r="D254" s="162"/>
      <c r="E254" s="13">
        <v>435.89622000000003</v>
      </c>
      <c r="F254" s="12" t="s">
        <v>13</v>
      </c>
      <c r="G254" s="13">
        <f>E254</f>
        <v>435.89622000000003</v>
      </c>
      <c r="H254" s="13">
        <v>435.89622000000003</v>
      </c>
      <c r="I254" s="12" t="s">
        <v>13</v>
      </c>
      <c r="J254" s="14">
        <f t="shared" si="23"/>
        <v>435.89622000000003</v>
      </c>
    </row>
    <row r="255" spans="1:10" x14ac:dyDescent="0.3">
      <c r="A255" s="166"/>
      <c r="B255" s="160" t="s">
        <v>17</v>
      </c>
      <c r="C255" s="161"/>
      <c r="D255" s="162"/>
      <c r="E255" s="13">
        <f t="shared" ref="E255:E256" si="24">G255</f>
        <v>466.81409000000002</v>
      </c>
      <c r="F255" s="12" t="s">
        <v>13</v>
      </c>
      <c r="G255" s="13">
        <f>466814.09/1000</f>
        <v>466.81409000000002</v>
      </c>
      <c r="H255" s="13">
        <f t="shared" ref="H255:H256" si="25">J255</f>
        <v>466.81409000000002</v>
      </c>
      <c r="I255" s="12" t="s">
        <v>13</v>
      </c>
      <c r="J255" s="14">
        <f>466814.09/1000</f>
        <v>466.81409000000002</v>
      </c>
    </row>
    <row r="256" spans="1:10" x14ac:dyDescent="0.3">
      <c r="A256" s="166"/>
      <c r="B256" s="160" t="s">
        <v>18</v>
      </c>
      <c r="C256" s="161"/>
      <c r="D256" s="162"/>
      <c r="E256" s="13">
        <f t="shared" si="24"/>
        <v>507.84676000000002</v>
      </c>
      <c r="F256" s="12" t="s">
        <v>13</v>
      </c>
      <c r="G256" s="13">
        <f>507846.76/1000</f>
        <v>507.84676000000002</v>
      </c>
      <c r="H256" s="13">
        <f t="shared" si="25"/>
        <v>507.84676000000002</v>
      </c>
      <c r="I256" s="12" t="s">
        <v>13</v>
      </c>
      <c r="J256" s="14">
        <f>507846.76/1000</f>
        <v>507.84676000000002</v>
      </c>
    </row>
    <row r="257" spans="1:10" ht="15" thickBot="1" x14ac:dyDescent="0.35">
      <c r="A257" s="167"/>
      <c r="B257" s="183" t="s">
        <v>19</v>
      </c>
      <c r="C257" s="184"/>
      <c r="D257" s="185"/>
      <c r="E257" s="38">
        <f>G257</f>
        <v>477.15111000000002</v>
      </c>
      <c r="F257" s="54" t="s">
        <v>13</v>
      </c>
      <c r="G257" s="48">
        <f>10337.02/1000+466814.09/1000</f>
        <v>477.15111000000002</v>
      </c>
      <c r="H257" s="38">
        <f>J257</f>
        <v>477.15111000000002</v>
      </c>
      <c r="I257" s="54" t="s">
        <v>13</v>
      </c>
      <c r="J257" s="55">
        <f>10337.02/1000+466814.09/1000</f>
        <v>477.15111000000002</v>
      </c>
    </row>
    <row r="258" spans="1:10" ht="42" thickBot="1" x14ac:dyDescent="0.35">
      <c r="A258" s="84" t="s">
        <v>49</v>
      </c>
      <c r="B258" s="23" t="s">
        <v>332</v>
      </c>
      <c r="C258" s="23" t="s">
        <v>333</v>
      </c>
      <c r="D258" s="25">
        <v>5063.8994000000002</v>
      </c>
      <c r="E258" s="24">
        <v>309.77654000000001</v>
      </c>
      <c r="F258" s="23" t="s">
        <v>334</v>
      </c>
      <c r="G258" s="24">
        <f>E258</f>
        <v>309.77654000000001</v>
      </c>
      <c r="H258" s="24"/>
      <c r="I258" s="25"/>
      <c r="J258" s="26"/>
    </row>
    <row r="259" spans="1:10" ht="27.6" x14ac:dyDescent="0.3">
      <c r="A259" s="182" t="s">
        <v>335</v>
      </c>
      <c r="B259" s="35" t="s">
        <v>336</v>
      </c>
      <c r="C259" s="35" t="s">
        <v>337</v>
      </c>
      <c r="D259" s="19">
        <v>770</v>
      </c>
      <c r="E259" s="20">
        <f>G259</f>
        <v>750.75</v>
      </c>
      <c r="F259" s="35" t="s">
        <v>338</v>
      </c>
      <c r="G259" s="20">
        <f>750750/1000</f>
        <v>750.75</v>
      </c>
      <c r="H259" s="20">
        <v>770</v>
      </c>
      <c r="I259" s="19" t="s">
        <v>339</v>
      </c>
      <c r="J259" s="21">
        <v>770</v>
      </c>
    </row>
    <row r="260" spans="1:10" ht="27.6" x14ac:dyDescent="0.3">
      <c r="A260" s="166"/>
      <c r="B260" s="145" t="s">
        <v>24</v>
      </c>
      <c r="C260" s="145" t="s">
        <v>340</v>
      </c>
      <c r="D260" s="152">
        <v>76117.5</v>
      </c>
      <c r="E260" s="13">
        <f>G260</f>
        <v>4622.3007600000001</v>
      </c>
      <c r="F260" s="12" t="s">
        <v>341</v>
      </c>
      <c r="G260" s="13">
        <f>4622300.76/1000</f>
        <v>4622.3007600000001</v>
      </c>
      <c r="H260" s="13"/>
      <c r="I260" s="27"/>
      <c r="J260" s="14"/>
    </row>
    <row r="261" spans="1:10" ht="28.2" thickBot="1" x14ac:dyDescent="0.35">
      <c r="A261" s="167"/>
      <c r="B261" s="141"/>
      <c r="C261" s="141"/>
      <c r="D261" s="178"/>
      <c r="E261" s="32">
        <f>G261</f>
        <v>2988.9314199999999</v>
      </c>
      <c r="F261" s="12" t="s">
        <v>341</v>
      </c>
      <c r="G261" s="32">
        <v>2988.9314199999999</v>
      </c>
      <c r="H261" s="32"/>
      <c r="I261" s="33"/>
      <c r="J261" s="34"/>
    </row>
    <row r="262" spans="1:10" ht="27.6" x14ac:dyDescent="0.3">
      <c r="A262" s="149" t="s">
        <v>31</v>
      </c>
      <c r="B262" s="163" t="s">
        <v>78</v>
      </c>
      <c r="C262" s="163" t="s">
        <v>72</v>
      </c>
      <c r="D262" s="181">
        <v>122.04089999999999</v>
      </c>
      <c r="E262" s="20">
        <v>48.816360000000003</v>
      </c>
      <c r="F262" s="19" t="s">
        <v>342</v>
      </c>
      <c r="G262" s="20">
        <f t="shared" si="20"/>
        <v>48.816360000000003</v>
      </c>
      <c r="H262" s="20"/>
      <c r="I262" s="19"/>
      <c r="J262" s="21"/>
    </row>
    <row r="263" spans="1:10" ht="27.6" x14ac:dyDescent="0.3">
      <c r="A263" s="150"/>
      <c r="B263" s="138"/>
      <c r="C263" s="138"/>
      <c r="D263" s="139"/>
      <c r="E263" s="29">
        <f>G263</f>
        <v>24.408182</v>
      </c>
      <c r="F263" s="30" t="s">
        <v>343</v>
      </c>
      <c r="G263" s="13">
        <f>20684.9*1.18/1000</f>
        <v>24.408182</v>
      </c>
      <c r="H263" s="93">
        <f>J263</f>
        <v>24.408182</v>
      </c>
      <c r="I263" s="30" t="s">
        <v>344</v>
      </c>
      <c r="J263" s="52">
        <f>20684.9*1.18/1000</f>
        <v>24.408182</v>
      </c>
    </row>
    <row r="264" spans="1:10" ht="27.6" x14ac:dyDescent="0.3">
      <c r="A264" s="150"/>
      <c r="B264" s="145" t="s">
        <v>20</v>
      </c>
      <c r="C264" s="145" t="s">
        <v>345</v>
      </c>
      <c r="D264" s="157">
        <v>2299.1916099999999</v>
      </c>
      <c r="E264" s="13">
        <v>1302.9100000000001</v>
      </c>
      <c r="F264" s="27" t="s">
        <v>346</v>
      </c>
      <c r="G264" s="13">
        <f t="shared" si="20"/>
        <v>1302.9100000000001</v>
      </c>
      <c r="H264" s="13"/>
      <c r="I264" s="27"/>
      <c r="J264" s="14"/>
    </row>
    <row r="265" spans="1:10" ht="27.6" x14ac:dyDescent="0.3">
      <c r="A265" s="150"/>
      <c r="B265" s="140"/>
      <c r="C265" s="140"/>
      <c r="D265" s="159"/>
      <c r="E265" s="13">
        <v>230.3</v>
      </c>
      <c r="F265" s="27" t="s">
        <v>347</v>
      </c>
      <c r="G265" s="13">
        <f t="shared" si="20"/>
        <v>230.3</v>
      </c>
      <c r="H265" s="13"/>
      <c r="I265" s="27"/>
      <c r="J265" s="14"/>
    </row>
    <row r="266" spans="1:10" ht="27.6" x14ac:dyDescent="0.3">
      <c r="A266" s="150"/>
      <c r="B266" s="140"/>
      <c r="C266" s="140"/>
      <c r="D266" s="159"/>
      <c r="E266" s="13">
        <f>G266</f>
        <v>30.87</v>
      </c>
      <c r="F266" s="30" t="s">
        <v>348</v>
      </c>
      <c r="G266" s="13">
        <v>30.87</v>
      </c>
      <c r="H266" s="13"/>
      <c r="I266" s="27"/>
      <c r="J266" s="14"/>
    </row>
    <row r="267" spans="1:10" ht="27.6" x14ac:dyDescent="0.3">
      <c r="A267" s="150"/>
      <c r="B267" s="138"/>
      <c r="C267" s="138"/>
      <c r="D267" s="158"/>
      <c r="E267" s="13">
        <f>G267</f>
        <v>220.01</v>
      </c>
      <c r="F267" s="30" t="s">
        <v>348</v>
      </c>
      <c r="G267" s="13">
        <v>220.01</v>
      </c>
      <c r="H267" s="13"/>
      <c r="I267" s="27"/>
      <c r="J267" s="14"/>
    </row>
    <row r="268" spans="1:10" ht="27.6" x14ac:dyDescent="0.3">
      <c r="A268" s="150"/>
      <c r="B268" s="145" t="s">
        <v>28</v>
      </c>
      <c r="C268" s="145" t="s">
        <v>349</v>
      </c>
      <c r="D268" s="143">
        <v>10530.802799999999</v>
      </c>
      <c r="E268" s="13">
        <v>709.09860000000003</v>
      </c>
      <c r="F268" s="27" t="s">
        <v>350</v>
      </c>
      <c r="G268" s="13">
        <f t="shared" si="20"/>
        <v>709.09860000000003</v>
      </c>
      <c r="H268" s="13"/>
      <c r="I268" s="13"/>
      <c r="J268" s="14"/>
    </row>
    <row r="269" spans="1:10" ht="27.6" x14ac:dyDescent="0.3">
      <c r="A269" s="150"/>
      <c r="B269" s="140"/>
      <c r="C269" s="140"/>
      <c r="D269" s="144"/>
      <c r="E269" s="13">
        <v>2514.6086100000002</v>
      </c>
      <c r="F269" s="27" t="s">
        <v>351</v>
      </c>
      <c r="G269" s="13">
        <f t="shared" si="20"/>
        <v>2514.6086100000002</v>
      </c>
      <c r="H269" s="13"/>
      <c r="I269" s="13"/>
      <c r="J269" s="14"/>
    </row>
    <row r="270" spans="1:10" ht="27.6" x14ac:dyDescent="0.3">
      <c r="A270" s="150"/>
      <c r="B270" s="138"/>
      <c r="C270" s="138"/>
      <c r="D270" s="139"/>
      <c r="E270" s="13">
        <v>1456.5965799999999</v>
      </c>
      <c r="F270" s="27" t="s">
        <v>352</v>
      </c>
      <c r="G270" s="13">
        <v>1456.5965799999999</v>
      </c>
      <c r="H270" s="13"/>
      <c r="I270" s="13"/>
      <c r="J270" s="14"/>
    </row>
    <row r="271" spans="1:10" ht="27.6" x14ac:dyDescent="0.3">
      <c r="A271" s="150"/>
      <c r="B271" s="12" t="s">
        <v>353</v>
      </c>
      <c r="C271" s="12" t="s">
        <v>354</v>
      </c>
      <c r="D271" s="13">
        <v>229.43799999999999</v>
      </c>
      <c r="E271" s="13">
        <v>229.43799999999999</v>
      </c>
      <c r="F271" s="27" t="s">
        <v>355</v>
      </c>
      <c r="G271" s="13">
        <f t="shared" si="20"/>
        <v>229.43799999999999</v>
      </c>
      <c r="H271" s="13"/>
      <c r="I271" s="13"/>
      <c r="J271" s="14"/>
    </row>
    <row r="272" spans="1:10" ht="27.6" x14ac:dyDescent="0.3">
      <c r="A272" s="150"/>
      <c r="B272" s="145" t="s">
        <v>76</v>
      </c>
      <c r="C272" s="145" t="s">
        <v>356</v>
      </c>
      <c r="D272" s="145">
        <v>5559.05</v>
      </c>
      <c r="E272" s="13">
        <v>2495.9578700000002</v>
      </c>
      <c r="F272" s="27" t="s">
        <v>357</v>
      </c>
      <c r="G272" s="13">
        <f t="shared" si="20"/>
        <v>2495.9578700000002</v>
      </c>
      <c r="H272" s="13"/>
      <c r="I272" s="27"/>
      <c r="J272" s="14"/>
    </row>
    <row r="273" spans="1:10" ht="27.6" x14ac:dyDescent="0.3">
      <c r="A273" s="150"/>
      <c r="B273" s="140"/>
      <c r="C273" s="140"/>
      <c r="D273" s="140"/>
      <c r="E273" s="13">
        <v>602.62027</v>
      </c>
      <c r="F273" s="30" t="s">
        <v>358</v>
      </c>
      <c r="G273" s="13">
        <f t="shared" si="20"/>
        <v>602.62027</v>
      </c>
      <c r="H273" s="13">
        <v>602.62026519999995</v>
      </c>
      <c r="I273" s="30" t="s">
        <v>227</v>
      </c>
      <c r="J273" s="52">
        <f>510695.14*1.18/1000</f>
        <v>602.62026520000006</v>
      </c>
    </row>
    <row r="274" spans="1:10" ht="27.6" x14ac:dyDescent="0.3">
      <c r="A274" s="150"/>
      <c r="B274" s="140"/>
      <c r="C274" s="140"/>
      <c r="D274" s="140"/>
      <c r="E274" s="29"/>
      <c r="F274" s="30"/>
      <c r="G274" s="29"/>
      <c r="H274" s="144">
        <f>J274+J275</f>
        <v>835.27005639999993</v>
      </c>
      <c r="I274" s="30" t="s">
        <v>359</v>
      </c>
      <c r="J274" s="52">
        <f>220162.93*1.18/1000</f>
        <v>259.79225739999998</v>
      </c>
    </row>
    <row r="275" spans="1:10" ht="27.6" x14ac:dyDescent="0.3">
      <c r="A275" s="150"/>
      <c r="B275" s="138"/>
      <c r="C275" s="138"/>
      <c r="D275" s="138"/>
      <c r="E275" s="29"/>
      <c r="F275" s="30"/>
      <c r="G275" s="29"/>
      <c r="H275" s="139"/>
      <c r="I275" s="30" t="s">
        <v>359</v>
      </c>
      <c r="J275" s="52">
        <f>487693.05*1.18/1000</f>
        <v>575.477799</v>
      </c>
    </row>
    <row r="276" spans="1:10" ht="27.6" x14ac:dyDescent="0.3">
      <c r="A276" s="150"/>
      <c r="B276" s="145" t="s">
        <v>76</v>
      </c>
      <c r="C276" s="145" t="s">
        <v>77</v>
      </c>
      <c r="D276" s="145">
        <v>4018.319</v>
      </c>
      <c r="E276" s="13">
        <v>2430.85437</v>
      </c>
      <c r="F276" s="30" t="s">
        <v>360</v>
      </c>
      <c r="G276" s="13">
        <f t="shared" si="20"/>
        <v>2430.85437</v>
      </c>
      <c r="H276" s="29"/>
      <c r="I276" s="30"/>
      <c r="J276" s="52"/>
    </row>
    <row r="277" spans="1:10" ht="27.6" x14ac:dyDescent="0.3">
      <c r="A277" s="150"/>
      <c r="B277" s="140"/>
      <c r="C277" s="140"/>
      <c r="D277" s="140"/>
      <c r="E277" s="13">
        <v>808.95973000000004</v>
      </c>
      <c r="F277" s="30" t="s">
        <v>361</v>
      </c>
      <c r="G277" s="13">
        <f t="shared" si="20"/>
        <v>808.95973000000004</v>
      </c>
      <c r="H277" s="29">
        <f>J277</f>
        <v>808.95972619999986</v>
      </c>
      <c r="I277" s="30" t="s">
        <v>362</v>
      </c>
      <c r="J277" s="52">
        <f>685559.09*1.18/1000</f>
        <v>808.95972619999986</v>
      </c>
    </row>
    <row r="278" spans="1:10" ht="27.6" x14ac:dyDescent="0.3">
      <c r="A278" s="150"/>
      <c r="B278" s="138"/>
      <c r="C278" s="138"/>
      <c r="D278" s="138"/>
      <c r="E278" s="13"/>
      <c r="F278" s="30"/>
      <c r="G278" s="13"/>
      <c r="H278" s="29">
        <f>J278</f>
        <v>398.30992040000001</v>
      </c>
      <c r="I278" s="30" t="s">
        <v>359</v>
      </c>
      <c r="J278" s="52">
        <f>337550.78*1.18/1000</f>
        <v>398.30992040000001</v>
      </c>
    </row>
    <row r="279" spans="1:10" ht="27.6" x14ac:dyDescent="0.3">
      <c r="A279" s="150"/>
      <c r="B279" s="145" t="s">
        <v>74</v>
      </c>
      <c r="C279" s="145" t="s">
        <v>75</v>
      </c>
      <c r="D279" s="143">
        <v>4477.5</v>
      </c>
      <c r="E279" s="13">
        <v>235.68648999999999</v>
      </c>
      <c r="F279" s="30" t="s">
        <v>363</v>
      </c>
      <c r="G279" s="13">
        <f t="shared" si="20"/>
        <v>235.68648999999999</v>
      </c>
      <c r="H279" s="29">
        <f>J279</f>
        <v>51.656187399999993</v>
      </c>
      <c r="I279" s="30" t="s">
        <v>227</v>
      </c>
      <c r="J279" s="52">
        <f>43776.43*1.18/1000</f>
        <v>51.656187399999993</v>
      </c>
    </row>
    <row r="280" spans="1:10" ht="27.6" x14ac:dyDescent="0.3">
      <c r="A280" s="150"/>
      <c r="B280" s="140"/>
      <c r="C280" s="140"/>
      <c r="D280" s="144"/>
      <c r="E280" s="13">
        <v>1626.2579599999999</v>
      </c>
      <c r="F280" s="30" t="s">
        <v>364</v>
      </c>
      <c r="G280" s="13">
        <f t="shared" si="20"/>
        <v>1626.2579599999999</v>
      </c>
      <c r="H280" s="29"/>
      <c r="I280" s="30"/>
      <c r="J280" s="52"/>
    </row>
    <row r="281" spans="1:10" ht="27.6" x14ac:dyDescent="0.3">
      <c r="A281" s="150"/>
      <c r="B281" s="138"/>
      <c r="C281" s="138"/>
      <c r="D281" s="139"/>
      <c r="E281" s="13">
        <v>51.656190000000002</v>
      </c>
      <c r="F281" s="30" t="s">
        <v>365</v>
      </c>
      <c r="G281" s="13">
        <f t="shared" si="20"/>
        <v>51.656190000000002</v>
      </c>
      <c r="H281" s="29"/>
      <c r="I281" s="30"/>
      <c r="J281" s="52"/>
    </row>
    <row r="282" spans="1:10" ht="27.6" x14ac:dyDescent="0.3">
      <c r="A282" s="150"/>
      <c r="B282" s="145" t="s">
        <v>79</v>
      </c>
      <c r="C282" s="145" t="s">
        <v>366</v>
      </c>
      <c r="D282" s="143">
        <v>3417.8249999999998</v>
      </c>
      <c r="E282" s="13">
        <v>1301.59338</v>
      </c>
      <c r="F282" s="30" t="s">
        <v>367</v>
      </c>
      <c r="G282" s="13">
        <f t="shared" si="20"/>
        <v>1301.59338</v>
      </c>
      <c r="H282" s="29">
        <f>J282</f>
        <v>386.99327199999999</v>
      </c>
      <c r="I282" s="30" t="s">
        <v>227</v>
      </c>
      <c r="J282" s="52">
        <f>327960.4*1.18/1000</f>
        <v>386.99327199999999</v>
      </c>
    </row>
    <row r="283" spans="1:10" ht="27.6" x14ac:dyDescent="0.3">
      <c r="A283" s="150"/>
      <c r="B283" s="140"/>
      <c r="C283" s="140"/>
      <c r="D283" s="144"/>
      <c r="E283" s="13">
        <v>1010.78405</v>
      </c>
      <c r="F283" s="30" t="s">
        <v>368</v>
      </c>
      <c r="G283" s="13">
        <f t="shared" si="20"/>
        <v>1010.78405</v>
      </c>
      <c r="H283" s="29"/>
      <c r="I283" s="30"/>
      <c r="J283" s="52"/>
    </row>
    <row r="284" spans="1:10" ht="27.6" x14ac:dyDescent="0.3">
      <c r="A284" s="150"/>
      <c r="B284" s="138"/>
      <c r="C284" s="138"/>
      <c r="D284" s="139"/>
      <c r="E284" s="13">
        <v>386.99327</v>
      </c>
      <c r="F284" s="30" t="s">
        <v>369</v>
      </c>
      <c r="G284" s="13">
        <f t="shared" si="20"/>
        <v>386.99327</v>
      </c>
      <c r="H284" s="29"/>
      <c r="I284" s="30"/>
      <c r="J284" s="52"/>
    </row>
    <row r="285" spans="1:10" ht="27.6" x14ac:dyDescent="0.3">
      <c r="A285" s="150"/>
      <c r="B285" s="145" t="s">
        <v>80</v>
      </c>
      <c r="C285" s="145" t="s">
        <v>81</v>
      </c>
      <c r="D285" s="143">
        <v>6102.2672000000002</v>
      </c>
      <c r="E285" s="143">
        <f>3209.7872+G286+G287+G288</f>
        <v>6042.5242400000006</v>
      </c>
      <c r="F285" s="30" t="s">
        <v>370</v>
      </c>
      <c r="G285" s="13">
        <v>3209.7872000000002</v>
      </c>
      <c r="H285" s="143">
        <f>J285+J286+J287+J288</f>
        <v>2892.4799913999996</v>
      </c>
      <c r="I285" s="152" t="s">
        <v>371</v>
      </c>
      <c r="J285" s="52">
        <f>516525.42*1.18/1000</f>
        <v>609.49999559999992</v>
      </c>
    </row>
    <row r="286" spans="1:10" ht="27.6" x14ac:dyDescent="0.3">
      <c r="A286" s="150"/>
      <c r="B286" s="140"/>
      <c r="C286" s="140"/>
      <c r="D286" s="144"/>
      <c r="E286" s="144"/>
      <c r="F286" s="30" t="s">
        <v>372</v>
      </c>
      <c r="G286" s="13">
        <v>1012</v>
      </c>
      <c r="H286" s="144"/>
      <c r="I286" s="154"/>
      <c r="J286" s="52">
        <f>341101.69*1.18/1000</f>
        <v>402.49999419999995</v>
      </c>
    </row>
    <row r="287" spans="1:10" ht="27.6" x14ac:dyDescent="0.3">
      <c r="A287" s="150"/>
      <c r="B287" s="140"/>
      <c r="C287" s="140"/>
      <c r="D287" s="144"/>
      <c r="E287" s="144"/>
      <c r="F287" s="30" t="s">
        <v>373</v>
      </c>
      <c r="G287" s="13">
        <f>718347.5/1000</f>
        <v>718.34749999999997</v>
      </c>
      <c r="H287" s="144"/>
      <c r="I287" s="30" t="s">
        <v>374</v>
      </c>
      <c r="J287" s="52">
        <f>960152.54*1.18/1000</f>
        <v>1132.9799972000001</v>
      </c>
    </row>
    <row r="288" spans="1:10" ht="27.6" x14ac:dyDescent="0.3">
      <c r="A288" s="150"/>
      <c r="B288" s="138"/>
      <c r="C288" s="138"/>
      <c r="D288" s="139"/>
      <c r="E288" s="139"/>
      <c r="F288" s="30" t="s">
        <v>375</v>
      </c>
      <c r="G288" s="13">
        <f>1102389.54/1000</f>
        <v>1102.3895400000001</v>
      </c>
      <c r="H288" s="139"/>
      <c r="I288" s="30" t="s">
        <v>376</v>
      </c>
      <c r="J288" s="52">
        <f>633474.58*1.18/1000</f>
        <v>747.50000439999985</v>
      </c>
    </row>
    <row r="289" spans="1:10" ht="27.6" x14ac:dyDescent="0.3">
      <c r="A289" s="150"/>
      <c r="B289" s="28" t="s">
        <v>44</v>
      </c>
      <c r="C289" s="28" t="s">
        <v>377</v>
      </c>
      <c r="D289" s="29">
        <v>253.35616999999999</v>
      </c>
      <c r="E289" s="13"/>
      <c r="F289" s="30"/>
      <c r="G289" s="13"/>
      <c r="H289" s="13">
        <f>J289</f>
        <v>29.532367399999998</v>
      </c>
      <c r="I289" s="30" t="s">
        <v>378</v>
      </c>
      <c r="J289" s="14">
        <f>25027.43*1.18/1000</f>
        <v>29.532367399999998</v>
      </c>
    </row>
    <row r="290" spans="1:10" ht="27.6" x14ac:dyDescent="0.3">
      <c r="A290" s="150"/>
      <c r="B290" s="145" t="s">
        <v>379</v>
      </c>
      <c r="C290" s="145" t="s">
        <v>82</v>
      </c>
      <c r="D290" s="143">
        <v>3468</v>
      </c>
      <c r="E290" s="143">
        <f>G290+G291+G294+G292+G293</f>
        <v>3468</v>
      </c>
      <c r="F290" s="30" t="s">
        <v>380</v>
      </c>
      <c r="G290" s="13">
        <v>1694</v>
      </c>
      <c r="H290" s="143">
        <f>J290+J291</f>
        <v>1773.9999994</v>
      </c>
      <c r="I290" s="30" t="s">
        <v>381</v>
      </c>
      <c r="J290" s="52">
        <f>903069.49*1.18/1000</f>
        <v>1065.6219982</v>
      </c>
    </row>
    <row r="291" spans="1:10" ht="27.6" x14ac:dyDescent="0.3">
      <c r="A291" s="150"/>
      <c r="B291" s="140"/>
      <c r="C291" s="140"/>
      <c r="D291" s="144"/>
      <c r="E291" s="144"/>
      <c r="F291" s="30" t="s">
        <v>382</v>
      </c>
      <c r="G291" s="29">
        <f>678626.13/1000</f>
        <v>678.62612999999999</v>
      </c>
      <c r="H291" s="139"/>
      <c r="I291" s="27" t="s">
        <v>383</v>
      </c>
      <c r="J291" s="14">
        <f>600.32034*1.18</f>
        <v>708.37800119999997</v>
      </c>
    </row>
    <row r="292" spans="1:10" ht="27.6" x14ac:dyDescent="0.3">
      <c r="A292" s="150"/>
      <c r="B292" s="140"/>
      <c r="C292" s="140"/>
      <c r="D292" s="144"/>
      <c r="E292" s="144"/>
      <c r="F292" s="27" t="s">
        <v>384</v>
      </c>
      <c r="G292" s="13">
        <f>1040047.07/1000</f>
        <v>1040.0470699999998</v>
      </c>
      <c r="H292" s="13"/>
      <c r="I292" s="27"/>
      <c r="J292" s="14"/>
    </row>
    <row r="293" spans="1:10" ht="27.6" x14ac:dyDescent="0.3">
      <c r="A293" s="150"/>
      <c r="B293" s="140"/>
      <c r="C293" s="140"/>
      <c r="D293" s="144"/>
      <c r="E293" s="144"/>
      <c r="F293" s="33" t="s">
        <v>385</v>
      </c>
      <c r="G293" s="32">
        <f>29751.87/1000</f>
        <v>29.75187</v>
      </c>
      <c r="H293" s="13"/>
      <c r="I293" s="27"/>
      <c r="J293" s="14"/>
    </row>
    <row r="294" spans="1:10" ht="28.2" thickBot="1" x14ac:dyDescent="0.35">
      <c r="A294" s="151"/>
      <c r="B294" s="141"/>
      <c r="C294" s="141"/>
      <c r="D294" s="186"/>
      <c r="E294" s="186"/>
      <c r="F294" s="22" t="s">
        <v>386</v>
      </c>
      <c r="G294" s="16">
        <f>25574.93/1000</f>
        <v>25.574930000000002</v>
      </c>
      <c r="H294" s="38"/>
      <c r="I294" s="39"/>
      <c r="J294" s="40"/>
    </row>
    <row r="295" spans="1:10" ht="27.6" x14ac:dyDescent="0.3">
      <c r="A295" s="149" t="s">
        <v>31</v>
      </c>
      <c r="B295" s="163" t="s">
        <v>59</v>
      </c>
      <c r="C295" s="163" t="s">
        <v>269</v>
      </c>
      <c r="D295" s="181"/>
      <c r="E295" s="20">
        <f>G295</f>
        <v>1082.9207038</v>
      </c>
      <c r="F295" s="35" t="s">
        <v>199</v>
      </c>
      <c r="G295" s="20">
        <f>917729.41*1.18/1000</f>
        <v>1082.9207038</v>
      </c>
      <c r="H295" s="31">
        <f>419.9564*1.18</f>
        <v>495.54855199999992</v>
      </c>
      <c r="I295" s="163" t="s">
        <v>130</v>
      </c>
      <c r="J295" s="94">
        <f>419956.4*1.18/1000</f>
        <v>495.54855200000003</v>
      </c>
    </row>
    <row r="296" spans="1:10" x14ac:dyDescent="0.3">
      <c r="A296" s="150"/>
      <c r="B296" s="140"/>
      <c r="C296" s="140"/>
      <c r="D296" s="144"/>
      <c r="E296" s="143">
        <f>G296+G297</f>
        <v>502.5626608</v>
      </c>
      <c r="F296" s="152" t="s">
        <v>127</v>
      </c>
      <c r="G296" s="13">
        <f>419956.4*1.18/1000</f>
        <v>495.54855200000003</v>
      </c>
      <c r="H296" s="29">
        <f>J296</f>
        <v>7.0141087999999989</v>
      </c>
      <c r="I296" s="138"/>
      <c r="J296" s="52">
        <f>5944.16*1.18/1000</f>
        <v>7.0141087999999989</v>
      </c>
    </row>
    <row r="297" spans="1:10" ht="27.6" x14ac:dyDescent="0.3">
      <c r="A297" s="150"/>
      <c r="B297" s="140"/>
      <c r="C297" s="140"/>
      <c r="D297" s="144"/>
      <c r="E297" s="139"/>
      <c r="F297" s="154"/>
      <c r="G297" s="29">
        <f>5944.16*1.18/1000</f>
        <v>7.0141087999999989</v>
      </c>
      <c r="H297" s="29">
        <f>J297</f>
        <v>56.149981400000001</v>
      </c>
      <c r="I297" s="30" t="s">
        <v>131</v>
      </c>
      <c r="J297" s="52">
        <f>47584.73*1.18/1000</f>
        <v>56.149981400000001</v>
      </c>
    </row>
    <row r="298" spans="1:10" x14ac:dyDescent="0.3">
      <c r="A298" s="150"/>
      <c r="B298" s="140"/>
      <c r="C298" s="140"/>
      <c r="D298" s="144"/>
      <c r="E298" s="13">
        <f>G298</f>
        <v>909.99907880000001</v>
      </c>
      <c r="F298" s="30"/>
      <c r="G298" s="29">
        <f>771185.66*1.18/1000</f>
        <v>909.99907880000001</v>
      </c>
      <c r="H298" s="143">
        <f>J298+J299</f>
        <v>129.23240820000001</v>
      </c>
      <c r="I298" s="152" t="s">
        <v>131</v>
      </c>
      <c r="J298" s="52">
        <f>65960.3*1.18/1000</f>
        <v>77.833153999999993</v>
      </c>
    </row>
    <row r="299" spans="1:10" x14ac:dyDescent="0.3">
      <c r="A299" s="150"/>
      <c r="B299" s="140"/>
      <c r="C299" s="140"/>
      <c r="D299" s="144"/>
      <c r="E299" s="13"/>
      <c r="F299" s="30"/>
      <c r="G299" s="29"/>
      <c r="H299" s="139"/>
      <c r="I299" s="154"/>
      <c r="J299" s="52">
        <f>43558.69*1.18/1000</f>
        <v>51.399254200000001</v>
      </c>
    </row>
    <row r="300" spans="1:10" x14ac:dyDescent="0.3">
      <c r="A300" s="150"/>
      <c r="B300" s="140"/>
      <c r="C300" s="140"/>
      <c r="D300" s="144"/>
      <c r="E300" s="13"/>
      <c r="F300" s="30"/>
      <c r="G300" s="29"/>
      <c r="H300" s="143">
        <f>J300+J301+J302</f>
        <v>531.1586628</v>
      </c>
      <c r="I300" s="152" t="s">
        <v>131</v>
      </c>
      <c r="J300" s="52">
        <f>246628.28*1.18/1000</f>
        <v>291.02137039999997</v>
      </c>
    </row>
    <row r="301" spans="1:10" x14ac:dyDescent="0.3">
      <c r="A301" s="150"/>
      <c r="B301" s="140"/>
      <c r="C301" s="140"/>
      <c r="D301" s="144"/>
      <c r="E301" s="13"/>
      <c r="F301" s="30"/>
      <c r="G301" s="29"/>
      <c r="H301" s="144"/>
      <c r="I301" s="153"/>
      <c r="J301" s="52">
        <f>122611.48*1.18/1000</f>
        <v>144.6815464</v>
      </c>
    </row>
    <row r="302" spans="1:10" x14ac:dyDescent="0.3">
      <c r="A302" s="150"/>
      <c r="B302" s="140"/>
      <c r="C302" s="140"/>
      <c r="D302" s="144"/>
      <c r="E302" s="13"/>
      <c r="F302" s="30"/>
      <c r="G302" s="29"/>
      <c r="H302" s="139"/>
      <c r="I302" s="154"/>
      <c r="J302" s="52">
        <f>80894.7*1.18/1000</f>
        <v>95.455745999999991</v>
      </c>
    </row>
    <row r="303" spans="1:10" ht="27.6" x14ac:dyDescent="0.3">
      <c r="A303" s="150"/>
      <c r="B303" s="140"/>
      <c r="C303" s="140"/>
      <c r="D303" s="144"/>
      <c r="E303" s="13"/>
      <c r="F303" s="30"/>
      <c r="G303" s="29"/>
      <c r="H303" s="29">
        <f>163.94748*1.18</f>
        <v>193.45802639999999</v>
      </c>
      <c r="I303" s="30" t="s">
        <v>131</v>
      </c>
      <c r="J303" s="52">
        <f t="shared" ref="J303" si="26">H303</f>
        <v>193.45802639999999</v>
      </c>
    </row>
    <row r="304" spans="1:10" ht="27.6" x14ac:dyDescent="0.3">
      <c r="A304" s="150"/>
      <c r="B304" s="138"/>
      <c r="C304" s="138"/>
      <c r="D304" s="144"/>
      <c r="E304" s="29"/>
      <c r="F304" s="30"/>
      <c r="G304" s="29"/>
      <c r="H304" s="93">
        <f>J304</f>
        <v>43.971590800000001</v>
      </c>
      <c r="I304" s="30" t="s">
        <v>135</v>
      </c>
      <c r="J304" s="52">
        <f>37264.06*1.18/1000</f>
        <v>43.971590800000001</v>
      </c>
    </row>
    <row r="305" spans="1:10" ht="27.6" x14ac:dyDescent="0.3">
      <c r="A305" s="150"/>
      <c r="B305" s="28" t="s">
        <v>387</v>
      </c>
      <c r="C305" s="95"/>
      <c r="D305" s="95"/>
      <c r="E305" s="29"/>
      <c r="F305" s="30"/>
      <c r="G305" s="29"/>
      <c r="H305" s="93">
        <f>J305</f>
        <v>119.89453719999999</v>
      </c>
      <c r="I305" s="30" t="s">
        <v>388</v>
      </c>
      <c r="J305" s="52">
        <f>101605.54*1.18/1000</f>
        <v>119.89453719999999</v>
      </c>
    </row>
    <row r="306" spans="1:10" ht="41.4" x14ac:dyDescent="0.3">
      <c r="A306" s="150"/>
      <c r="B306" s="145" t="s">
        <v>389</v>
      </c>
      <c r="C306" s="96" t="s">
        <v>390</v>
      </c>
      <c r="D306" s="143">
        <f>5762221.95/1000</f>
        <v>5762.2219500000001</v>
      </c>
      <c r="E306" s="29"/>
      <c r="F306" s="30"/>
      <c r="G306" s="29"/>
      <c r="H306" s="143">
        <f>J306+J307+J308+J309+J310+J311+J312+J313+J314+J315+J316+J317+J318+J319+J320+J321+J322+J323</f>
        <v>8097.9475999999986</v>
      </c>
      <c r="I306" s="30" t="s">
        <v>391</v>
      </c>
      <c r="J306" s="52">
        <f>3297873.94/1000</f>
        <v>3297.8739399999999</v>
      </c>
    </row>
    <row r="307" spans="1:10" ht="27.6" x14ac:dyDescent="0.3">
      <c r="A307" s="150"/>
      <c r="B307" s="140"/>
      <c r="C307" s="97" t="s">
        <v>392</v>
      </c>
      <c r="D307" s="144"/>
      <c r="E307" s="29"/>
      <c r="F307" s="30"/>
      <c r="G307" s="29"/>
      <c r="H307" s="144"/>
      <c r="I307" s="30" t="s">
        <v>393</v>
      </c>
      <c r="J307" s="52">
        <f>2464288.08/1000</f>
        <v>2464.2880800000003</v>
      </c>
    </row>
    <row r="308" spans="1:10" ht="41.4" x14ac:dyDescent="0.3">
      <c r="A308" s="150"/>
      <c r="B308" s="140"/>
      <c r="C308" s="97" t="s">
        <v>394</v>
      </c>
      <c r="D308" s="135">
        <f>3421398.29/1000</f>
        <v>3421.3982900000001</v>
      </c>
      <c r="E308" s="29"/>
      <c r="F308" s="30"/>
      <c r="G308" s="29"/>
      <c r="H308" s="144"/>
      <c r="I308" s="30" t="s">
        <v>395</v>
      </c>
      <c r="J308" s="52">
        <f>419434.96/1000</f>
        <v>419.43496000000005</v>
      </c>
    </row>
    <row r="309" spans="1:10" ht="27.6" x14ac:dyDescent="0.3">
      <c r="A309" s="150"/>
      <c r="B309" s="140"/>
      <c r="C309" s="135" t="s">
        <v>396</v>
      </c>
      <c r="D309" s="135"/>
      <c r="E309" s="29"/>
      <c r="F309" s="30"/>
      <c r="G309" s="29"/>
      <c r="H309" s="144"/>
      <c r="I309" s="30" t="s">
        <v>395</v>
      </c>
      <c r="J309" s="52">
        <f>292289.91/1000</f>
        <v>292.28990999999996</v>
      </c>
    </row>
    <row r="310" spans="1:10" ht="27.6" x14ac:dyDescent="0.3">
      <c r="A310" s="150"/>
      <c r="B310" s="140"/>
      <c r="C310" s="135"/>
      <c r="D310" s="135"/>
      <c r="E310" s="29"/>
      <c r="F310" s="30"/>
      <c r="G310" s="29"/>
      <c r="H310" s="144"/>
      <c r="I310" s="30" t="s">
        <v>397</v>
      </c>
      <c r="J310" s="52">
        <f>18456/1000</f>
        <v>18.456</v>
      </c>
    </row>
    <row r="311" spans="1:10" ht="27.6" x14ac:dyDescent="0.3">
      <c r="A311" s="150"/>
      <c r="B311" s="140"/>
      <c r="C311" s="135"/>
      <c r="D311" s="135"/>
      <c r="E311" s="29"/>
      <c r="F311" s="30"/>
      <c r="G311" s="29"/>
      <c r="H311" s="144"/>
      <c r="I311" s="30" t="s">
        <v>398</v>
      </c>
      <c r="J311" s="52">
        <f>33400.74/1000</f>
        <v>33.400739999999999</v>
      </c>
    </row>
    <row r="312" spans="1:10" ht="27.6" x14ac:dyDescent="0.3">
      <c r="A312" s="150"/>
      <c r="B312" s="140"/>
      <c r="C312" s="135"/>
      <c r="D312" s="135"/>
      <c r="E312" s="29"/>
      <c r="F312" s="30"/>
      <c r="G312" s="29"/>
      <c r="H312" s="144"/>
      <c r="I312" s="30" t="s">
        <v>399</v>
      </c>
      <c r="J312" s="52">
        <f>12813.66/1000</f>
        <v>12.81366</v>
      </c>
    </row>
    <row r="313" spans="1:10" ht="27.6" x14ac:dyDescent="0.3">
      <c r="A313" s="150"/>
      <c r="B313" s="140"/>
      <c r="C313" s="135"/>
      <c r="D313" s="135"/>
      <c r="E313" s="29"/>
      <c r="F313" s="30"/>
      <c r="G313" s="29"/>
      <c r="H313" s="144"/>
      <c r="I313" s="30" t="s">
        <v>400</v>
      </c>
      <c r="J313" s="52">
        <f>526961.63/1000</f>
        <v>526.96163000000001</v>
      </c>
    </row>
    <row r="314" spans="1:10" ht="27.6" x14ac:dyDescent="0.3">
      <c r="A314" s="150"/>
      <c r="B314" s="140"/>
      <c r="C314" s="135"/>
      <c r="D314" s="135"/>
      <c r="E314" s="29"/>
      <c r="F314" s="30"/>
      <c r="G314" s="29"/>
      <c r="H314" s="144"/>
      <c r="I314" s="30" t="s">
        <v>401</v>
      </c>
      <c r="J314" s="52">
        <f>85329.89/1000</f>
        <v>85.329890000000006</v>
      </c>
    </row>
    <row r="315" spans="1:10" ht="27.6" x14ac:dyDescent="0.3">
      <c r="A315" s="150"/>
      <c r="B315" s="140"/>
      <c r="C315" s="144" t="s">
        <v>402</v>
      </c>
      <c r="D315" s="144">
        <v>3290</v>
      </c>
      <c r="E315" s="29"/>
      <c r="F315" s="30"/>
      <c r="G315" s="29"/>
      <c r="H315" s="144"/>
      <c r="I315" s="27" t="s">
        <v>391</v>
      </c>
      <c r="J315" s="14">
        <f>2167.68/1000</f>
        <v>2.1676799999999998</v>
      </c>
    </row>
    <row r="316" spans="1:10" ht="27.6" x14ac:dyDescent="0.3">
      <c r="A316" s="150"/>
      <c r="B316" s="140"/>
      <c r="C316" s="144"/>
      <c r="D316" s="144"/>
      <c r="E316" s="29"/>
      <c r="F316" s="30"/>
      <c r="G316" s="29"/>
      <c r="H316" s="144"/>
      <c r="I316" s="27" t="s">
        <v>395</v>
      </c>
      <c r="J316" s="14">
        <f>149211.15/1000</f>
        <v>149.21115</v>
      </c>
    </row>
    <row r="317" spans="1:10" ht="27.6" x14ac:dyDescent="0.3">
      <c r="A317" s="150"/>
      <c r="B317" s="140"/>
      <c r="C317" s="144"/>
      <c r="D317" s="144"/>
      <c r="E317" s="29"/>
      <c r="F317" s="30"/>
      <c r="G317" s="29"/>
      <c r="H317" s="144"/>
      <c r="I317" s="27" t="s">
        <v>398</v>
      </c>
      <c r="J317" s="14">
        <f>15783.56/1000</f>
        <v>15.78356</v>
      </c>
    </row>
    <row r="318" spans="1:10" ht="27.6" x14ac:dyDescent="0.3">
      <c r="A318" s="150"/>
      <c r="B318" s="140"/>
      <c r="C318" s="144"/>
      <c r="D318" s="144"/>
      <c r="E318" s="29"/>
      <c r="F318" s="30"/>
      <c r="G318" s="29"/>
      <c r="H318" s="144"/>
      <c r="I318" s="27" t="s">
        <v>403</v>
      </c>
      <c r="J318" s="14">
        <f>324483.09/1000</f>
        <v>324.48309</v>
      </c>
    </row>
    <row r="319" spans="1:10" ht="27.6" x14ac:dyDescent="0.3">
      <c r="A319" s="150"/>
      <c r="B319" s="140"/>
      <c r="C319" s="144"/>
      <c r="D319" s="144"/>
      <c r="E319" s="29"/>
      <c r="F319" s="30"/>
      <c r="G319" s="29"/>
      <c r="H319" s="144"/>
      <c r="I319" s="27" t="s">
        <v>398</v>
      </c>
      <c r="J319" s="14">
        <f>99287.45/1000</f>
        <v>99.287449999999993</v>
      </c>
    </row>
    <row r="320" spans="1:10" ht="27.6" x14ac:dyDescent="0.3">
      <c r="A320" s="150"/>
      <c r="B320" s="140"/>
      <c r="C320" s="144"/>
      <c r="D320" s="144"/>
      <c r="E320" s="29"/>
      <c r="F320" s="30"/>
      <c r="G320" s="29"/>
      <c r="H320" s="144"/>
      <c r="I320" s="27" t="s">
        <v>403</v>
      </c>
      <c r="J320" s="14">
        <f>25107.45/1000</f>
        <v>25.10745</v>
      </c>
    </row>
    <row r="321" spans="1:10" ht="27.6" x14ac:dyDescent="0.3">
      <c r="A321" s="150"/>
      <c r="B321" s="140"/>
      <c r="C321" s="144"/>
      <c r="D321" s="144"/>
      <c r="E321" s="29"/>
      <c r="F321" s="30"/>
      <c r="G321" s="29"/>
      <c r="H321" s="144"/>
      <c r="I321" s="27" t="s">
        <v>395</v>
      </c>
      <c r="J321" s="14">
        <f>164843.69/1000</f>
        <v>164.84369000000001</v>
      </c>
    </row>
    <row r="322" spans="1:10" ht="27.6" x14ac:dyDescent="0.3">
      <c r="A322" s="150"/>
      <c r="B322" s="140"/>
      <c r="C322" s="144"/>
      <c r="D322" s="144"/>
      <c r="E322" s="29"/>
      <c r="F322" s="30"/>
      <c r="G322" s="29"/>
      <c r="H322" s="144"/>
      <c r="I322" s="30" t="s">
        <v>395</v>
      </c>
      <c r="J322" s="52">
        <f>16541.33/1000</f>
        <v>16.541330000000002</v>
      </c>
    </row>
    <row r="323" spans="1:10" ht="27.6" x14ac:dyDescent="0.3">
      <c r="A323" s="150"/>
      <c r="B323" s="138"/>
      <c r="C323" s="139"/>
      <c r="D323" s="139"/>
      <c r="E323" s="29"/>
      <c r="F323" s="30"/>
      <c r="G323" s="29"/>
      <c r="H323" s="139"/>
      <c r="I323" s="30" t="s">
        <v>404</v>
      </c>
      <c r="J323" s="52">
        <f>149673.39/1000</f>
        <v>149.67339000000001</v>
      </c>
    </row>
    <row r="324" spans="1:10" ht="41.4" x14ac:dyDescent="0.3">
      <c r="A324" s="150"/>
      <c r="B324" s="134" t="s">
        <v>405</v>
      </c>
      <c r="C324" s="134"/>
      <c r="D324" s="134"/>
      <c r="E324" s="13"/>
      <c r="F324" s="27"/>
      <c r="G324" s="13"/>
      <c r="H324" s="13">
        <f>J324</f>
        <v>442.8330904</v>
      </c>
      <c r="I324" s="27" t="s">
        <v>406</v>
      </c>
      <c r="J324" s="14">
        <f>375282.28*1.18/1000</f>
        <v>442.8330904</v>
      </c>
    </row>
    <row r="325" spans="1:10" ht="42" thickBot="1" x14ac:dyDescent="0.35">
      <c r="A325" s="151"/>
      <c r="B325" s="134" t="s">
        <v>161</v>
      </c>
      <c r="C325" s="134"/>
      <c r="D325" s="134"/>
      <c r="E325" s="13"/>
      <c r="F325" s="27"/>
      <c r="G325" s="13"/>
      <c r="H325" s="13">
        <f>J325</f>
        <v>2188.1100017999997</v>
      </c>
      <c r="I325" s="27" t="s">
        <v>407</v>
      </c>
      <c r="J325" s="14">
        <f>1854330.51*1.18/1000</f>
        <v>2188.1100017999997</v>
      </c>
    </row>
    <row r="326" spans="1:10" ht="27.6" x14ac:dyDescent="0.3">
      <c r="A326" s="149" t="s">
        <v>83</v>
      </c>
      <c r="B326" s="54" t="s">
        <v>87</v>
      </c>
      <c r="C326" s="54" t="s">
        <v>408</v>
      </c>
      <c r="D326" s="48">
        <v>1057.77072</v>
      </c>
      <c r="E326" s="48">
        <v>527.26931999999999</v>
      </c>
      <c r="F326" s="54" t="s">
        <v>409</v>
      </c>
      <c r="G326" s="48">
        <f t="shared" ref="G326:G338" si="27">E326</f>
        <v>527.26931999999999</v>
      </c>
      <c r="H326" s="48"/>
      <c r="I326" s="54"/>
      <c r="J326" s="55"/>
    </row>
    <row r="327" spans="1:10" ht="27.6" x14ac:dyDescent="0.3">
      <c r="A327" s="150"/>
      <c r="B327" s="145" t="s">
        <v>28</v>
      </c>
      <c r="C327" s="145" t="s">
        <v>349</v>
      </c>
      <c r="D327" s="143">
        <v>10530.802799999999</v>
      </c>
      <c r="E327" s="13">
        <v>1765.02</v>
      </c>
      <c r="F327" s="12" t="s">
        <v>410</v>
      </c>
      <c r="G327" s="13">
        <f t="shared" si="27"/>
        <v>1765.02</v>
      </c>
      <c r="H327" s="13"/>
      <c r="I327" s="12"/>
      <c r="J327" s="14"/>
    </row>
    <row r="328" spans="1:10" ht="27.6" x14ac:dyDescent="0.3">
      <c r="A328" s="150"/>
      <c r="B328" s="138"/>
      <c r="C328" s="138"/>
      <c r="D328" s="139"/>
      <c r="E328" s="13">
        <v>3389.8391999999999</v>
      </c>
      <c r="F328" s="12" t="s">
        <v>411</v>
      </c>
      <c r="G328" s="13">
        <f t="shared" si="27"/>
        <v>3389.8391999999999</v>
      </c>
      <c r="H328" s="13"/>
      <c r="I328" s="12"/>
      <c r="J328" s="14"/>
    </row>
    <row r="329" spans="1:10" ht="27.6" x14ac:dyDescent="0.3">
      <c r="A329" s="150"/>
      <c r="B329" s="145" t="s">
        <v>84</v>
      </c>
      <c r="C329" s="145" t="s">
        <v>85</v>
      </c>
      <c r="D329" s="143">
        <v>20211</v>
      </c>
      <c r="E329" s="13">
        <v>6690.0734700000003</v>
      </c>
      <c r="F329" s="12" t="s">
        <v>412</v>
      </c>
      <c r="G329" s="13">
        <f t="shared" si="27"/>
        <v>6690.0734700000003</v>
      </c>
      <c r="H329" s="13"/>
      <c r="I329" s="12"/>
      <c r="J329" s="14"/>
    </row>
    <row r="330" spans="1:10" ht="27.6" x14ac:dyDescent="0.3">
      <c r="A330" s="150"/>
      <c r="B330" s="140"/>
      <c r="C330" s="140"/>
      <c r="D330" s="144"/>
      <c r="E330" s="13">
        <v>295.517</v>
      </c>
      <c r="F330" s="12" t="s">
        <v>413</v>
      </c>
      <c r="G330" s="13">
        <f t="shared" si="27"/>
        <v>295.517</v>
      </c>
      <c r="H330" s="13">
        <f>J330</f>
        <v>295.51700520000003</v>
      </c>
      <c r="I330" s="12" t="s">
        <v>414</v>
      </c>
      <c r="J330" s="14">
        <f>250438.14*1.18/1000</f>
        <v>295.51700520000003</v>
      </c>
    </row>
    <row r="331" spans="1:10" ht="27.6" x14ac:dyDescent="0.3">
      <c r="A331" s="150"/>
      <c r="B331" s="140"/>
      <c r="C331" s="140"/>
      <c r="D331" s="144"/>
      <c r="E331" s="13">
        <f>G331</f>
        <v>3690.5620299999996</v>
      </c>
      <c r="F331" s="12" t="s">
        <v>415</v>
      </c>
      <c r="G331" s="13">
        <f>3690562.03/1000</f>
        <v>3690.5620299999996</v>
      </c>
      <c r="H331" s="13">
        <f>J331</f>
        <v>3690.5620291999999</v>
      </c>
      <c r="I331" s="12" t="s">
        <v>416</v>
      </c>
      <c r="J331" s="14">
        <f>3127594.94*1.18/1000</f>
        <v>3690.5620291999999</v>
      </c>
    </row>
    <row r="332" spans="1:10" x14ac:dyDescent="0.3">
      <c r="A332" s="150"/>
      <c r="B332" s="140"/>
      <c r="C332" s="140"/>
      <c r="D332" s="144"/>
      <c r="E332" s="13"/>
      <c r="F332" s="12"/>
      <c r="G332" s="13"/>
      <c r="H332" s="143">
        <f>J332+J333+J334+J335</f>
        <v>1081.2075444</v>
      </c>
      <c r="I332" s="143" t="s">
        <v>417</v>
      </c>
      <c r="J332" s="14">
        <f>217424.43*1.18/1000</f>
        <v>256.56082739999999</v>
      </c>
    </row>
    <row r="333" spans="1:10" x14ac:dyDescent="0.3">
      <c r="A333" s="150"/>
      <c r="B333" s="140"/>
      <c r="C333" s="140"/>
      <c r="D333" s="144"/>
      <c r="E333" s="13"/>
      <c r="F333" s="12"/>
      <c r="G333" s="13"/>
      <c r="H333" s="144"/>
      <c r="I333" s="144"/>
      <c r="J333" s="14">
        <f>212167.64*1.18/1000</f>
        <v>250.3578152</v>
      </c>
    </row>
    <row r="334" spans="1:10" x14ac:dyDescent="0.3">
      <c r="A334" s="150"/>
      <c r="B334" s="140"/>
      <c r="C334" s="140"/>
      <c r="D334" s="144"/>
      <c r="E334" s="13"/>
      <c r="F334" s="12"/>
      <c r="G334" s="13"/>
      <c r="H334" s="144"/>
      <c r="I334" s="144"/>
      <c r="J334" s="14">
        <f>243342.75*1.18/1000</f>
        <v>287.14444500000002</v>
      </c>
    </row>
    <row r="335" spans="1:10" x14ac:dyDescent="0.3">
      <c r="A335" s="150"/>
      <c r="B335" s="138"/>
      <c r="C335" s="138"/>
      <c r="D335" s="139"/>
      <c r="E335" s="13"/>
      <c r="F335" s="12"/>
      <c r="G335" s="13"/>
      <c r="H335" s="139"/>
      <c r="I335" s="139"/>
      <c r="J335" s="14">
        <f>243342.76*1.18/1000</f>
        <v>287.1444568</v>
      </c>
    </row>
    <row r="336" spans="1:10" ht="27.6" x14ac:dyDescent="0.3">
      <c r="A336" s="150"/>
      <c r="B336" s="12" t="s">
        <v>26</v>
      </c>
      <c r="C336" s="12" t="s">
        <v>418</v>
      </c>
      <c r="D336" s="13">
        <v>2079</v>
      </c>
      <c r="E336" s="13">
        <v>1975.05</v>
      </c>
      <c r="F336" s="12" t="s">
        <v>419</v>
      </c>
      <c r="G336" s="13">
        <f t="shared" si="27"/>
        <v>1975.05</v>
      </c>
      <c r="H336" s="13">
        <f>J336</f>
        <v>97.142555999999999</v>
      </c>
      <c r="I336" s="12" t="s">
        <v>420</v>
      </c>
      <c r="J336" s="14">
        <f>82324.2*1.18/1000</f>
        <v>97.142555999999999</v>
      </c>
    </row>
    <row r="337" spans="1:10" ht="27.6" x14ac:dyDescent="0.3">
      <c r="A337" s="150"/>
      <c r="B337" s="12" t="s">
        <v>341</v>
      </c>
      <c r="C337" s="12"/>
      <c r="D337" s="13"/>
      <c r="E337" s="13">
        <v>103.95</v>
      </c>
      <c r="F337" s="12" t="s">
        <v>421</v>
      </c>
      <c r="G337" s="13">
        <f t="shared" si="27"/>
        <v>103.95</v>
      </c>
      <c r="H337" s="13"/>
      <c r="I337" s="12"/>
      <c r="J337" s="14"/>
    </row>
    <row r="338" spans="1:10" ht="27.6" x14ac:dyDescent="0.3">
      <c r="A338" s="150"/>
      <c r="B338" s="145" t="s">
        <v>80</v>
      </c>
      <c r="C338" s="145" t="s">
        <v>86</v>
      </c>
      <c r="D338" s="143">
        <v>2365.4499999999998</v>
      </c>
      <c r="E338" s="13">
        <v>1453.6</v>
      </c>
      <c r="F338" s="12" t="s">
        <v>422</v>
      </c>
      <c r="G338" s="13">
        <f t="shared" si="27"/>
        <v>1453.6</v>
      </c>
      <c r="H338" s="13">
        <f>176.31356*1.18</f>
        <v>208.05000079999999</v>
      </c>
      <c r="I338" s="30" t="s">
        <v>423</v>
      </c>
      <c r="J338" s="14">
        <f>176313.56/1000*1.18</f>
        <v>208.05000079999999</v>
      </c>
    </row>
    <row r="339" spans="1:10" ht="27.6" x14ac:dyDescent="0.3">
      <c r="A339" s="150"/>
      <c r="B339" s="140"/>
      <c r="C339" s="140"/>
      <c r="D339" s="144"/>
      <c r="E339" s="13">
        <f t="shared" ref="E339:E345" si="28">G339</f>
        <v>208.05</v>
      </c>
      <c r="F339" s="12" t="s">
        <v>424</v>
      </c>
      <c r="G339" s="13">
        <f>208050/1000</f>
        <v>208.05</v>
      </c>
      <c r="H339" s="13">
        <f>J339</f>
        <v>469.20000159999995</v>
      </c>
      <c r="I339" s="30" t="s">
        <v>425</v>
      </c>
      <c r="J339" s="14">
        <f>397627.12*1.18/1000</f>
        <v>469.20000159999995</v>
      </c>
    </row>
    <row r="340" spans="1:10" ht="27.6" x14ac:dyDescent="0.3">
      <c r="A340" s="150"/>
      <c r="B340" s="138"/>
      <c r="C340" s="138"/>
      <c r="D340" s="139"/>
      <c r="E340" s="13">
        <f t="shared" si="28"/>
        <v>696.05819999999994</v>
      </c>
      <c r="F340" s="12" t="s">
        <v>426</v>
      </c>
      <c r="G340" s="13">
        <f>696058.2/1000</f>
        <v>696.05819999999994</v>
      </c>
      <c r="H340" s="13">
        <f>J340</f>
        <v>234.60000079999998</v>
      </c>
      <c r="I340" s="30" t="s">
        <v>427</v>
      </c>
      <c r="J340" s="14">
        <f>198813.56/1000*1.18</f>
        <v>234.60000079999998</v>
      </c>
    </row>
    <row r="341" spans="1:10" ht="27.6" x14ac:dyDescent="0.3">
      <c r="A341" s="150"/>
      <c r="B341" s="134" t="s">
        <v>59</v>
      </c>
      <c r="C341" s="134" t="s">
        <v>269</v>
      </c>
      <c r="D341" s="135"/>
      <c r="E341" s="13">
        <f t="shared" si="28"/>
        <v>702.52059919999999</v>
      </c>
      <c r="F341" s="54" t="s">
        <v>199</v>
      </c>
      <c r="G341" s="13">
        <f>595356.44*1.18/1000</f>
        <v>702.52059919999999</v>
      </c>
      <c r="H341" s="13">
        <f>J341</f>
        <v>171.26588439999998</v>
      </c>
      <c r="I341" s="12" t="s">
        <v>428</v>
      </c>
      <c r="J341" s="14">
        <f>145140.58*1.18/1000</f>
        <v>171.26588439999998</v>
      </c>
    </row>
    <row r="342" spans="1:10" ht="27.6" x14ac:dyDescent="0.3">
      <c r="A342" s="150"/>
      <c r="B342" s="134"/>
      <c r="C342" s="134"/>
      <c r="D342" s="135"/>
      <c r="E342" s="13">
        <f t="shared" si="28"/>
        <v>171.26588439999998</v>
      </c>
      <c r="F342" s="30" t="s">
        <v>127</v>
      </c>
      <c r="G342" s="13">
        <f>145140.58*1.18/1000</f>
        <v>171.26588439999998</v>
      </c>
      <c r="H342" s="13">
        <f>J342</f>
        <v>7.5652396</v>
      </c>
      <c r="I342" s="28" t="s">
        <v>429</v>
      </c>
      <c r="J342" s="14">
        <f>6411.22*1.18/1000</f>
        <v>7.5652396</v>
      </c>
    </row>
    <row r="343" spans="1:10" x14ac:dyDescent="0.3">
      <c r="A343" s="150"/>
      <c r="B343" s="134"/>
      <c r="C343" s="134"/>
      <c r="D343" s="135"/>
      <c r="E343" s="13">
        <f t="shared" si="28"/>
        <v>343.85551639999994</v>
      </c>
      <c r="F343" s="30"/>
      <c r="G343" s="13">
        <f>291402.98*1.18/1000</f>
        <v>343.85551639999994</v>
      </c>
      <c r="H343" s="143">
        <f>J343+J344+J345</f>
        <v>336.29027680000002</v>
      </c>
      <c r="I343" s="145" t="s">
        <v>131</v>
      </c>
      <c r="J343" s="14">
        <f>65024.44*1.18/1000</f>
        <v>76.728839199999996</v>
      </c>
    </row>
    <row r="344" spans="1:10" x14ac:dyDescent="0.3">
      <c r="A344" s="150"/>
      <c r="B344" s="134"/>
      <c r="C344" s="134"/>
      <c r="D344" s="135"/>
      <c r="E344" s="13">
        <f t="shared" si="28"/>
        <v>52.914173599999998</v>
      </c>
      <c r="F344" s="12"/>
      <c r="G344" s="13">
        <f>44842.52*1.18/1000</f>
        <v>52.914173599999998</v>
      </c>
      <c r="H344" s="144"/>
      <c r="I344" s="140"/>
      <c r="J344" s="14">
        <f>146644.88*1.18/1000</f>
        <v>173.04095839999999</v>
      </c>
    </row>
    <row r="345" spans="1:10" x14ac:dyDescent="0.3">
      <c r="A345" s="150"/>
      <c r="B345" s="134"/>
      <c r="C345" s="134"/>
      <c r="D345" s="135"/>
      <c r="E345" s="13">
        <f t="shared" si="28"/>
        <v>94.478375599999993</v>
      </c>
      <c r="F345" s="12"/>
      <c r="G345" s="13">
        <f>80066.42*1.18/1000</f>
        <v>94.478375599999993</v>
      </c>
      <c r="H345" s="139"/>
      <c r="I345" s="138"/>
      <c r="J345" s="14">
        <f>73322.44*1.18/1000</f>
        <v>86.520479199999997</v>
      </c>
    </row>
    <row r="346" spans="1:10" ht="27.6" x14ac:dyDescent="0.3">
      <c r="A346" s="150"/>
      <c r="B346" s="134"/>
      <c r="C346" s="134"/>
      <c r="D346" s="135"/>
      <c r="E346" s="13"/>
      <c r="F346" s="12"/>
      <c r="G346" s="13"/>
      <c r="H346" s="48">
        <f>J346</f>
        <v>94.478375599999993</v>
      </c>
      <c r="I346" s="54" t="s">
        <v>430</v>
      </c>
      <c r="J346" s="14">
        <f>80066.42*1.18/1000</f>
        <v>94.478375599999993</v>
      </c>
    </row>
    <row r="347" spans="1:10" x14ac:dyDescent="0.3">
      <c r="A347" s="150"/>
      <c r="B347" s="134"/>
      <c r="C347" s="134"/>
      <c r="D347" s="135"/>
      <c r="E347" s="13"/>
      <c r="F347" s="12"/>
      <c r="G347" s="13"/>
      <c r="H347" s="143">
        <f>J347+J348+J349+J350</f>
        <v>27.678929599999996</v>
      </c>
      <c r="I347" s="145" t="s">
        <v>431</v>
      </c>
      <c r="J347" s="14">
        <f>6229.58*1.18/1000</f>
        <v>7.3509043999999992</v>
      </c>
    </row>
    <row r="348" spans="1:10" x14ac:dyDescent="0.3">
      <c r="A348" s="150"/>
      <c r="B348" s="134"/>
      <c r="C348" s="134"/>
      <c r="D348" s="135"/>
      <c r="E348" s="13"/>
      <c r="F348" s="12"/>
      <c r="G348" s="13"/>
      <c r="H348" s="144"/>
      <c r="I348" s="140"/>
      <c r="J348" s="14">
        <f>6229.58*1.18/1000</f>
        <v>7.3509043999999992</v>
      </c>
    </row>
    <row r="349" spans="1:10" x14ac:dyDescent="0.3">
      <c r="A349" s="150"/>
      <c r="B349" s="134"/>
      <c r="C349" s="134"/>
      <c r="D349" s="135"/>
      <c r="E349" s="13"/>
      <c r="F349" s="12"/>
      <c r="G349" s="13"/>
      <c r="H349" s="144"/>
      <c r="I349" s="140"/>
      <c r="J349" s="14">
        <f>5566.07*1.18/1000</f>
        <v>6.5679625999999987</v>
      </c>
    </row>
    <row r="350" spans="1:10" x14ac:dyDescent="0.3">
      <c r="A350" s="150"/>
      <c r="B350" s="134"/>
      <c r="C350" s="134"/>
      <c r="D350" s="135"/>
      <c r="E350" s="13"/>
      <c r="F350" s="12"/>
      <c r="G350" s="13"/>
      <c r="H350" s="139"/>
      <c r="I350" s="138"/>
      <c r="J350" s="14">
        <f>5431.49*1.18/1000</f>
        <v>6.4091582000000002</v>
      </c>
    </row>
    <row r="351" spans="1:10" ht="27.6" x14ac:dyDescent="0.3">
      <c r="A351" s="150"/>
      <c r="B351" s="80" t="s">
        <v>28</v>
      </c>
      <c r="C351" s="12" t="s">
        <v>432</v>
      </c>
      <c r="D351" s="98">
        <f>1399610.43/1000</f>
        <v>1399.61043</v>
      </c>
      <c r="E351" s="48">
        <f>G351</f>
        <v>334.47640000000001</v>
      </c>
      <c r="F351" s="54" t="s">
        <v>433</v>
      </c>
      <c r="G351" s="13">
        <f>107.8417+226.6347</f>
        <v>334.47640000000001</v>
      </c>
      <c r="H351" s="99"/>
      <c r="I351" s="54"/>
      <c r="J351" s="14"/>
    </row>
    <row r="352" spans="1:10" ht="55.2" x14ac:dyDescent="0.3">
      <c r="A352" s="150"/>
      <c r="B352" s="160" t="s">
        <v>405</v>
      </c>
      <c r="C352" s="161"/>
      <c r="D352" s="162"/>
      <c r="E352" s="13"/>
      <c r="F352" s="27"/>
      <c r="G352" s="13"/>
      <c r="H352" s="13">
        <f>J352</f>
        <v>108.0165038</v>
      </c>
      <c r="I352" s="27" t="s">
        <v>434</v>
      </c>
      <c r="J352" s="14">
        <f>91539.41*1.18/1000</f>
        <v>108.0165038</v>
      </c>
    </row>
    <row r="353" spans="1:10" x14ac:dyDescent="0.3">
      <c r="A353" s="150"/>
      <c r="B353" s="134" t="s">
        <v>159</v>
      </c>
      <c r="C353" s="134"/>
      <c r="D353" s="134"/>
      <c r="E353" s="13"/>
      <c r="F353" s="27"/>
      <c r="G353" s="13"/>
      <c r="H353" s="13">
        <f>J353</f>
        <v>708.6126913999999</v>
      </c>
      <c r="I353" s="27"/>
      <c r="J353" s="14">
        <f>600519.23*1.18/1000</f>
        <v>708.6126913999999</v>
      </c>
    </row>
    <row r="354" spans="1:10" x14ac:dyDescent="0.3">
      <c r="A354" s="150"/>
      <c r="B354" s="160" t="s">
        <v>163</v>
      </c>
      <c r="C354" s="161"/>
      <c r="D354" s="162"/>
      <c r="E354" s="13">
        <f>76.28/1000</f>
        <v>7.6280000000000001E-2</v>
      </c>
      <c r="F354" s="12"/>
      <c r="G354" s="13">
        <f>E354</f>
        <v>7.6280000000000001E-2</v>
      </c>
      <c r="H354" s="13">
        <f>76.28/1000</f>
        <v>7.6280000000000001E-2</v>
      </c>
      <c r="I354" s="12"/>
      <c r="J354" s="14">
        <f>H354</f>
        <v>7.6280000000000001E-2</v>
      </c>
    </row>
    <row r="355" spans="1:10" x14ac:dyDescent="0.3">
      <c r="A355" s="150"/>
      <c r="B355" s="134" t="s">
        <v>164</v>
      </c>
      <c r="C355" s="134"/>
      <c r="D355" s="134"/>
      <c r="E355" s="13">
        <f>2364.63/1000</f>
        <v>2.36463</v>
      </c>
      <c r="F355" s="12"/>
      <c r="G355" s="13">
        <f>E355</f>
        <v>2.36463</v>
      </c>
      <c r="H355" s="13">
        <f>2364.63/1000</f>
        <v>2.36463</v>
      </c>
      <c r="I355" s="12"/>
      <c r="J355" s="14">
        <f>H355</f>
        <v>2.36463</v>
      </c>
    </row>
    <row r="356" spans="1:10" x14ac:dyDescent="0.3">
      <c r="A356" s="150"/>
      <c r="B356" s="134" t="s">
        <v>165</v>
      </c>
      <c r="C356" s="134"/>
      <c r="D356" s="134"/>
      <c r="E356" s="13">
        <f>G356</f>
        <v>2.2883499999999999</v>
      </c>
      <c r="F356" s="12"/>
      <c r="G356" s="13">
        <f>2288.35/1000</f>
        <v>2.2883499999999999</v>
      </c>
      <c r="H356" s="13">
        <f>J356</f>
        <v>2.2883499999999999</v>
      </c>
      <c r="I356" s="12"/>
      <c r="J356" s="14">
        <f>2288.35/1000</f>
        <v>2.2883499999999999</v>
      </c>
    </row>
    <row r="357" spans="1:10" x14ac:dyDescent="0.3">
      <c r="A357" s="150"/>
      <c r="B357" s="160" t="s">
        <v>166</v>
      </c>
      <c r="C357" s="161"/>
      <c r="D357" s="162"/>
      <c r="E357" s="13">
        <f>G357</f>
        <v>2.36463</v>
      </c>
      <c r="F357" s="12"/>
      <c r="G357" s="13">
        <f>2364.63/1000</f>
        <v>2.36463</v>
      </c>
      <c r="H357" s="13">
        <f>J357</f>
        <v>2.36463</v>
      </c>
      <c r="I357" s="12"/>
      <c r="J357" s="14">
        <f>2364.63/1000</f>
        <v>2.36463</v>
      </c>
    </row>
    <row r="358" spans="1:10" ht="15" thickBot="1" x14ac:dyDescent="0.35">
      <c r="A358" s="151"/>
      <c r="B358" s="183" t="s">
        <v>167</v>
      </c>
      <c r="C358" s="184"/>
      <c r="D358" s="185"/>
      <c r="E358" s="38">
        <f>G358</f>
        <v>9.8655300000000015</v>
      </c>
      <c r="F358" s="37"/>
      <c r="G358" s="38">
        <v>9.8655300000000015</v>
      </c>
      <c r="H358" s="38">
        <f>J358</f>
        <v>9.8655300000000015</v>
      </c>
      <c r="I358" s="37"/>
      <c r="J358" s="40">
        <f>9865.53/1000</f>
        <v>9.8655300000000015</v>
      </c>
    </row>
    <row r="359" spans="1:10" x14ac:dyDescent="0.3">
      <c r="A359" s="150" t="s">
        <v>435</v>
      </c>
      <c r="B359" s="179" t="s">
        <v>436</v>
      </c>
      <c r="C359" s="179" t="s">
        <v>437</v>
      </c>
      <c r="D359" s="144">
        <v>123.27682</v>
      </c>
      <c r="E359" s="48">
        <f>G359</f>
        <v>31.99437</v>
      </c>
      <c r="F359" s="48" t="s">
        <v>438</v>
      </c>
      <c r="G359" s="48">
        <v>31.99437</v>
      </c>
      <c r="H359" s="48"/>
      <c r="I359" s="48"/>
      <c r="J359" s="55"/>
    </row>
    <row r="360" spans="1:10" x14ac:dyDescent="0.3">
      <c r="A360" s="150"/>
      <c r="B360" s="156"/>
      <c r="C360" s="156"/>
      <c r="D360" s="139"/>
      <c r="E360" s="13">
        <f>G360</f>
        <v>91.282449999999997</v>
      </c>
      <c r="F360" s="13" t="s">
        <v>439</v>
      </c>
      <c r="G360" s="13">
        <f>91282.45/1000</f>
        <v>91.282449999999997</v>
      </c>
      <c r="H360" s="13"/>
      <c r="I360" s="13"/>
      <c r="J360" s="14"/>
    </row>
    <row r="361" spans="1:10" ht="27.6" x14ac:dyDescent="0.3">
      <c r="A361" s="150"/>
      <c r="B361" s="155" t="s">
        <v>440</v>
      </c>
      <c r="C361" s="155" t="s">
        <v>441</v>
      </c>
      <c r="D361" s="143">
        <v>1780</v>
      </c>
      <c r="E361" s="143">
        <f>G361+G362</f>
        <v>2778.6735544000003</v>
      </c>
      <c r="F361" s="13" t="s">
        <v>442</v>
      </c>
      <c r="G361" s="13">
        <v>1780.0000044000001</v>
      </c>
      <c r="H361" s="13">
        <v>1780.0000044000001</v>
      </c>
      <c r="I361" s="12" t="s">
        <v>443</v>
      </c>
      <c r="J361" s="14">
        <f>1508474.58*1.18/1000</f>
        <v>1780.0000044000001</v>
      </c>
    </row>
    <row r="362" spans="1:10" ht="27.6" x14ac:dyDescent="0.3">
      <c r="A362" s="150"/>
      <c r="B362" s="156"/>
      <c r="C362" s="156"/>
      <c r="D362" s="139"/>
      <c r="E362" s="139"/>
      <c r="F362" s="13" t="s">
        <v>444</v>
      </c>
      <c r="G362" s="13">
        <f>998673.55/1000</f>
        <v>998.67355000000009</v>
      </c>
      <c r="H362" s="13">
        <f>J362</f>
        <v>998.67355359999999</v>
      </c>
      <c r="I362" s="12" t="s">
        <v>445</v>
      </c>
      <c r="J362" s="14">
        <f>846333.52*1.18/1000</f>
        <v>998.67355359999999</v>
      </c>
    </row>
    <row r="363" spans="1:10" ht="27.6" x14ac:dyDescent="0.3">
      <c r="A363" s="150"/>
      <c r="B363" s="187" t="s">
        <v>440</v>
      </c>
      <c r="C363" s="187" t="s">
        <v>446</v>
      </c>
      <c r="D363" s="143"/>
      <c r="E363" s="32">
        <f>G363</f>
        <v>6600</v>
      </c>
      <c r="F363" s="32" t="s">
        <v>447</v>
      </c>
      <c r="G363" s="32">
        <f>6600000/1000</f>
        <v>6600</v>
      </c>
      <c r="H363" s="143">
        <f>J363+J364</f>
        <v>4757.2608599999994</v>
      </c>
      <c r="I363" s="12" t="s">
        <v>448</v>
      </c>
      <c r="J363" s="14">
        <f>2757670*1.18/1000</f>
        <v>3254.0505999999996</v>
      </c>
    </row>
    <row r="364" spans="1:10" ht="28.2" thickBot="1" x14ac:dyDescent="0.35">
      <c r="A364" s="150"/>
      <c r="B364" s="187"/>
      <c r="C364" s="187"/>
      <c r="D364" s="139"/>
      <c r="E364" s="13"/>
      <c r="F364" s="13"/>
      <c r="G364" s="13"/>
      <c r="H364" s="186"/>
      <c r="I364" s="12" t="s">
        <v>448</v>
      </c>
      <c r="J364" s="14">
        <f>1273907*1.18/1000</f>
        <v>1503.2102600000001</v>
      </c>
    </row>
    <row r="365" spans="1:10" ht="28.2" thickBot="1" x14ac:dyDescent="0.35">
      <c r="A365" s="43" t="s">
        <v>25</v>
      </c>
      <c r="B365" s="37"/>
      <c r="C365" s="37"/>
      <c r="D365" s="37"/>
      <c r="E365" s="42">
        <f>SUM(E113:E364)</f>
        <v>318877.80746819993</v>
      </c>
      <c r="F365" s="42"/>
      <c r="G365" s="42">
        <f>SUM(G113:G364)</f>
        <v>318877.80746819987</v>
      </c>
      <c r="H365" s="45">
        <f>SUM(H113:H364)</f>
        <v>226904.3232904</v>
      </c>
      <c r="I365" s="45"/>
      <c r="J365" s="46">
        <f>SUM(J113:J364)</f>
        <v>226904.32329080012</v>
      </c>
    </row>
    <row r="366" spans="1:10" ht="42" thickBot="1" x14ac:dyDescent="0.35">
      <c r="A366" s="43" t="s">
        <v>50</v>
      </c>
      <c r="B366" s="44"/>
      <c r="C366" s="44"/>
      <c r="D366" s="44"/>
      <c r="E366" s="45">
        <f>2039.62227848523*6</f>
        <v>12237.733670911381</v>
      </c>
      <c r="F366" s="24"/>
      <c r="G366" s="45">
        <f>2039.62227848523*6</f>
        <v>12237.733670911381</v>
      </c>
      <c r="H366" s="45">
        <f>2039.62227848523*6</f>
        <v>12237.733670911381</v>
      </c>
      <c r="I366" s="24"/>
      <c r="J366" s="46">
        <f>2039.62227848523*6</f>
        <v>12237.733670911381</v>
      </c>
    </row>
    <row r="367" spans="1:10" ht="55.8" thickBot="1" x14ac:dyDescent="0.35">
      <c r="A367" s="43" t="s">
        <v>51</v>
      </c>
      <c r="B367" s="44"/>
      <c r="C367" s="44"/>
      <c r="D367" s="44"/>
      <c r="E367" s="45">
        <f>E365+E366</f>
        <v>331115.54113911133</v>
      </c>
      <c r="F367" s="24"/>
      <c r="G367" s="45">
        <f>G365+G366</f>
        <v>331115.54113911127</v>
      </c>
      <c r="H367" s="45">
        <f>H365+H366</f>
        <v>239142.05696131138</v>
      </c>
      <c r="I367" s="24"/>
      <c r="J367" s="46">
        <f>J365+J366</f>
        <v>239142.0569617115</v>
      </c>
    </row>
    <row r="368" spans="1:10" ht="69.599999999999994" thickBot="1" x14ac:dyDescent="0.35">
      <c r="A368" s="43" t="s">
        <v>32</v>
      </c>
      <c r="B368" s="44"/>
      <c r="C368" s="44"/>
      <c r="D368" s="44"/>
      <c r="E368" s="45">
        <f>E111+E367</f>
        <v>394598.45319086133</v>
      </c>
      <c r="F368" s="45"/>
      <c r="G368" s="45">
        <f>G111+G367</f>
        <v>394598.45082086127</v>
      </c>
      <c r="H368" s="45">
        <f>H111+H367</f>
        <v>319610.05284186132</v>
      </c>
      <c r="I368" s="24"/>
      <c r="J368" s="46">
        <f>J111+J367</f>
        <v>319610.05284226144</v>
      </c>
    </row>
    <row r="369" spans="1:10" x14ac:dyDescent="0.3">
      <c r="A369" s="57"/>
      <c r="B369" s="57"/>
      <c r="C369" s="57"/>
      <c r="D369" s="57"/>
      <c r="E369" s="58"/>
      <c r="F369" s="49"/>
      <c r="G369" s="58"/>
      <c r="H369" s="100"/>
      <c r="I369" s="49"/>
      <c r="J369" s="58"/>
    </row>
    <row r="370" spans="1:10" x14ac:dyDescent="0.3">
      <c r="A370" s="6"/>
      <c r="B370" s="57"/>
      <c r="C370" s="57"/>
      <c r="D370" s="57"/>
      <c r="E370" s="59"/>
      <c r="F370" s="49"/>
      <c r="G370" s="58"/>
      <c r="H370" s="58"/>
      <c r="I370" s="49"/>
      <c r="J370" s="58"/>
    </row>
    <row r="371" spans="1:10" x14ac:dyDescent="0.3">
      <c r="A371" s="81" t="s">
        <v>449</v>
      </c>
      <c r="B371" s="1"/>
      <c r="C371" s="1"/>
      <c r="D371" s="1"/>
      <c r="E371" s="101"/>
      <c r="F371" s="1"/>
      <c r="G371" s="1"/>
      <c r="H371" s="59"/>
      <c r="I371" s="1"/>
      <c r="J371" s="60"/>
    </row>
    <row r="372" spans="1:10" x14ac:dyDescent="0.3">
      <c r="A372" s="82" t="s">
        <v>33</v>
      </c>
      <c r="B372" s="81"/>
      <c r="C372" s="81"/>
      <c r="D372" s="172"/>
      <c r="E372" s="173"/>
      <c r="F372" s="1"/>
      <c r="G372" s="1"/>
      <c r="H372" s="61"/>
      <c r="I372" s="1"/>
      <c r="J372" s="60"/>
    </row>
    <row r="373" spans="1:10" x14ac:dyDescent="0.3">
      <c r="A373" s="81" t="s">
        <v>52</v>
      </c>
      <c r="B373" s="82"/>
      <c r="C373" s="82"/>
      <c r="D373" s="174"/>
      <c r="E373" s="174"/>
      <c r="F373" s="1"/>
      <c r="G373" s="1"/>
      <c r="I373" s="1"/>
      <c r="J373" s="60"/>
    </row>
    <row r="374" spans="1:10" ht="15" thickBot="1" x14ac:dyDescent="0.35">
      <c r="A374" s="63"/>
      <c r="B374" s="82"/>
      <c r="C374" s="82"/>
      <c r="D374" s="82"/>
      <c r="E374" s="62"/>
      <c r="F374" s="1"/>
      <c r="G374" s="60"/>
      <c r="I374" s="1"/>
      <c r="J374" s="60"/>
    </row>
    <row r="375" spans="1:10" ht="15" thickBot="1" x14ac:dyDescent="0.35">
      <c r="A375" s="65" t="s">
        <v>34</v>
      </c>
      <c r="B375" s="63"/>
      <c r="C375" s="175"/>
      <c r="D375" s="175"/>
      <c r="E375" s="62"/>
      <c r="I375" s="1"/>
      <c r="J375" s="60"/>
    </row>
    <row r="376" spans="1:10" ht="15" thickBot="1" x14ac:dyDescent="0.35">
      <c r="A376" s="67"/>
      <c r="B376" s="66" t="s">
        <v>35</v>
      </c>
      <c r="C376" s="168" t="s">
        <v>90</v>
      </c>
      <c r="D376" s="169"/>
      <c r="E376" s="62"/>
      <c r="I376" s="1"/>
      <c r="J376" s="60"/>
    </row>
    <row r="377" spans="1:10" ht="28.2" thickBot="1" x14ac:dyDescent="0.35">
      <c r="A377" s="68" t="s">
        <v>91</v>
      </c>
      <c r="B377" s="102">
        <v>319610.05279466102</v>
      </c>
      <c r="C377" s="189">
        <v>394598.45078906103</v>
      </c>
      <c r="D377" s="190"/>
      <c r="E377" s="62"/>
      <c r="F377" s="103"/>
      <c r="G377" s="103"/>
      <c r="H377" s="104"/>
      <c r="I377" s="104"/>
      <c r="J377" s="105"/>
    </row>
    <row r="378" spans="1:10" ht="15.6" thickBot="1" x14ac:dyDescent="0.35">
      <c r="A378" s="68" t="s">
        <v>92</v>
      </c>
      <c r="B378" s="69">
        <v>254347.78096999999</v>
      </c>
      <c r="C378" s="170">
        <v>254347.78096999999</v>
      </c>
      <c r="D378" s="171"/>
      <c r="E378" s="70"/>
      <c r="F378" s="103"/>
      <c r="G378" s="103"/>
      <c r="H378" s="104"/>
      <c r="I378" s="104"/>
      <c r="J378" s="106"/>
    </row>
    <row r="379" spans="1:10" ht="28.2" thickBot="1" x14ac:dyDescent="0.35">
      <c r="A379" s="68" t="s">
        <v>53</v>
      </c>
      <c r="B379" s="69">
        <v>51842.87</v>
      </c>
      <c r="C379" s="170">
        <v>51308.77</v>
      </c>
      <c r="D379" s="171"/>
      <c r="E379" s="70"/>
      <c r="F379" s="103"/>
      <c r="G379" s="103"/>
      <c r="H379" s="107"/>
      <c r="I379" s="107"/>
      <c r="J379" s="106"/>
    </row>
    <row r="380" spans="1:10" ht="15.6" thickBot="1" x14ac:dyDescent="0.35">
      <c r="A380" s="71" t="s">
        <v>36</v>
      </c>
      <c r="B380" s="69">
        <v>2088.2373511999999</v>
      </c>
      <c r="C380" s="170">
        <v>2062.8995983999998</v>
      </c>
      <c r="D380" s="171"/>
      <c r="E380" s="70"/>
      <c r="F380" s="103"/>
      <c r="G380" s="103"/>
      <c r="H380" s="107"/>
      <c r="I380" s="107"/>
      <c r="J380" s="106"/>
    </row>
    <row r="381" spans="1:10" ht="15.6" thickBot="1" x14ac:dyDescent="0.35">
      <c r="A381" s="71" t="s">
        <v>37</v>
      </c>
      <c r="B381" s="72">
        <v>49245.867985243</v>
      </c>
      <c r="C381" s="176">
        <v>49245.867985243</v>
      </c>
      <c r="D381" s="177"/>
      <c r="E381" s="70"/>
      <c r="F381" s="103"/>
      <c r="G381" s="103"/>
      <c r="H381" s="104"/>
      <c r="I381" s="104"/>
      <c r="J381" s="106"/>
    </row>
    <row r="382" spans="1:10" ht="83.4" thickBot="1" x14ac:dyDescent="0.35">
      <c r="A382" s="68" t="s">
        <v>93</v>
      </c>
      <c r="B382" s="72">
        <v>213446.26</v>
      </c>
      <c r="C382" s="176">
        <v>206377.78</v>
      </c>
      <c r="D382" s="177"/>
      <c r="E382" s="70"/>
      <c r="F382" s="103"/>
      <c r="G382" s="103"/>
      <c r="H382" s="108"/>
      <c r="I382" s="108"/>
      <c r="J382" s="106"/>
    </row>
    <row r="383" spans="1:10" ht="16.2" thickBot="1" x14ac:dyDescent="0.35">
      <c r="A383" s="68" t="s">
        <v>94</v>
      </c>
      <c r="B383" s="73">
        <v>2546.14</v>
      </c>
      <c r="C383" s="170">
        <v>2546.14</v>
      </c>
      <c r="D383" s="171"/>
      <c r="E383" s="70"/>
      <c r="F383" s="103"/>
      <c r="G383" s="103"/>
      <c r="H383" s="108"/>
      <c r="I383" s="108"/>
      <c r="J383" s="106"/>
    </row>
    <row r="384" spans="1:10" ht="55.8" thickBot="1" x14ac:dyDescent="0.35">
      <c r="A384" s="68" t="s">
        <v>54</v>
      </c>
      <c r="B384" s="69">
        <v>-14546.23</v>
      </c>
      <c r="C384" s="170">
        <v>-36761.050000000003</v>
      </c>
      <c r="D384" s="171"/>
      <c r="E384" s="70"/>
      <c r="F384" s="103"/>
      <c r="G384" s="103"/>
      <c r="H384" s="109"/>
      <c r="I384" s="109"/>
      <c r="J384" s="106"/>
    </row>
    <row r="385" spans="1:10" ht="43.8" thickBot="1" x14ac:dyDescent="0.35">
      <c r="A385" s="71" t="s">
        <v>38</v>
      </c>
      <c r="B385" s="69">
        <v>47105.83</v>
      </c>
      <c r="C385" s="170">
        <v>69320.649999999994</v>
      </c>
      <c r="D385" s="171"/>
      <c r="E385" s="70"/>
      <c r="F385" s="103"/>
      <c r="G385" s="103"/>
      <c r="H385" s="109"/>
      <c r="I385" s="109"/>
      <c r="J385" s="106"/>
    </row>
    <row r="386" spans="1:10" ht="16.2" thickBot="1" x14ac:dyDescent="0.35">
      <c r="A386" s="71" t="s">
        <v>39</v>
      </c>
      <c r="B386" s="69">
        <v>32559.599999999999</v>
      </c>
      <c r="C386" s="170">
        <v>32559.599999999999</v>
      </c>
      <c r="D386" s="171"/>
      <c r="E386" s="70"/>
      <c r="F386" s="103"/>
      <c r="G386" s="103"/>
      <c r="H386" s="109"/>
      <c r="I386" s="109"/>
      <c r="J386" s="106"/>
    </row>
    <row r="387" spans="1:10" ht="15.6" x14ac:dyDescent="0.3">
      <c r="A387" s="1"/>
      <c r="B387" s="110"/>
      <c r="C387" s="188"/>
      <c r="D387" s="188"/>
      <c r="E387" s="70"/>
      <c r="F387" s="103"/>
      <c r="G387" s="103"/>
      <c r="H387" s="109"/>
      <c r="I387" s="109"/>
      <c r="J387" s="106"/>
    </row>
    <row r="388" spans="1:10" ht="15" x14ac:dyDescent="0.3">
      <c r="A388" s="1"/>
      <c r="B388" s="110"/>
      <c r="C388" s="110"/>
      <c r="D388" s="110"/>
      <c r="E388" s="70"/>
      <c r="F388" s="103"/>
      <c r="G388" s="103"/>
      <c r="H388" s="104"/>
      <c r="I388" s="104"/>
      <c r="J388" s="106"/>
    </row>
    <row r="389" spans="1:10" ht="15" x14ac:dyDescent="0.3">
      <c r="A389" s="6"/>
      <c r="B389" s="59"/>
      <c r="C389" s="1"/>
      <c r="D389" s="59"/>
      <c r="E389" s="64"/>
      <c r="F389" s="103"/>
      <c r="G389" s="103"/>
      <c r="H389" s="104"/>
      <c r="I389" s="104"/>
      <c r="J389" s="106"/>
    </row>
    <row r="390" spans="1:10" ht="15" x14ac:dyDescent="0.3">
      <c r="A390" s="6"/>
      <c r="B390" s="59"/>
      <c r="C390" s="1"/>
      <c r="D390" s="59"/>
      <c r="E390" s="64"/>
      <c r="F390" s="103"/>
      <c r="G390" s="103"/>
      <c r="H390" s="104"/>
      <c r="I390" s="104"/>
      <c r="J390" s="106"/>
    </row>
    <row r="391" spans="1:10" ht="15.6" x14ac:dyDescent="0.3">
      <c r="A391" s="6"/>
      <c r="B391" s="59"/>
      <c r="C391" s="1"/>
      <c r="D391" s="59"/>
      <c r="E391" s="64"/>
      <c r="F391" s="103"/>
      <c r="G391" s="103"/>
      <c r="H391" s="108"/>
      <c r="I391" s="108"/>
      <c r="J391" s="106"/>
    </row>
    <row r="392" spans="1:10" ht="15.6" x14ac:dyDescent="0.3">
      <c r="A392" s="74" t="s">
        <v>95</v>
      </c>
      <c r="B392" s="1"/>
      <c r="C392" s="1"/>
      <c r="D392" s="1"/>
      <c r="E392" s="64"/>
      <c r="F392" s="103"/>
      <c r="G392" s="103"/>
      <c r="H392" s="108"/>
      <c r="I392" s="108"/>
      <c r="J392" s="105"/>
    </row>
    <row r="393" spans="1:10" x14ac:dyDescent="0.3">
      <c r="A393" s="74"/>
      <c r="B393" s="75"/>
      <c r="C393" s="76"/>
      <c r="D393" s="76"/>
      <c r="E393" s="77" t="s">
        <v>96</v>
      </c>
      <c r="F393" s="103"/>
      <c r="G393" s="103"/>
      <c r="H393" s="103"/>
      <c r="I393" s="9"/>
      <c r="J393" s="9"/>
    </row>
    <row r="394" spans="1:10" x14ac:dyDescent="0.3">
      <c r="A394" s="74"/>
      <c r="B394" s="77"/>
      <c r="C394" s="77"/>
      <c r="D394" s="1"/>
      <c r="E394" s="1"/>
      <c r="F394" s="103"/>
      <c r="G394" s="103"/>
      <c r="H394" s="103"/>
      <c r="I394" s="9"/>
      <c r="J394" s="9"/>
    </row>
    <row r="395" spans="1:10" x14ac:dyDescent="0.3">
      <c r="A395" s="74"/>
      <c r="B395" s="77"/>
      <c r="C395" s="77"/>
      <c r="D395" s="1"/>
      <c r="E395" s="1"/>
      <c r="F395" s="103"/>
      <c r="G395" s="103"/>
      <c r="H395" s="103"/>
      <c r="I395" s="9"/>
      <c r="J395" s="9"/>
    </row>
    <row r="396" spans="1:10" x14ac:dyDescent="0.3">
      <c r="A396" s="74"/>
      <c r="B396" s="77"/>
      <c r="C396" s="77"/>
      <c r="D396" s="1"/>
      <c r="E396" s="1"/>
      <c r="F396" s="103"/>
      <c r="G396" s="103"/>
      <c r="H396" s="103"/>
      <c r="I396" s="9"/>
      <c r="J396" s="9"/>
    </row>
    <row r="397" spans="1:10" x14ac:dyDescent="0.3">
      <c r="A397" s="74"/>
      <c r="B397" s="77"/>
      <c r="C397" s="77"/>
      <c r="D397" s="1"/>
      <c r="E397" s="1"/>
      <c r="F397" s="103"/>
      <c r="G397" s="103"/>
      <c r="H397" s="103"/>
      <c r="I397" s="9"/>
      <c r="J397" s="9"/>
    </row>
    <row r="398" spans="1:10" x14ac:dyDescent="0.3">
      <c r="A398" s="74" t="s">
        <v>97</v>
      </c>
      <c r="B398" s="77"/>
      <c r="C398" s="77"/>
      <c r="D398" s="1"/>
      <c r="E398" s="77" t="s">
        <v>55</v>
      </c>
      <c r="F398" s="103"/>
      <c r="G398" s="103"/>
      <c r="H398" s="103"/>
      <c r="I398" s="9"/>
      <c r="J398" s="9"/>
    </row>
    <row r="399" spans="1:10" x14ac:dyDescent="0.3">
      <c r="A399" s="6"/>
      <c r="B399" s="77"/>
      <c r="C399" s="76"/>
      <c r="D399" s="76"/>
      <c r="E399" s="1"/>
      <c r="F399" s="103"/>
      <c r="G399" s="103"/>
      <c r="H399" s="103"/>
      <c r="I399" s="9"/>
      <c r="J399" s="9"/>
    </row>
    <row r="400" spans="1:10" x14ac:dyDescent="0.3">
      <c r="A400" s="6"/>
      <c r="B400" s="1"/>
      <c r="C400" s="1"/>
      <c r="D400" s="1"/>
      <c r="E400" s="1"/>
      <c r="F400" s="103"/>
      <c r="G400" s="103"/>
      <c r="H400" s="103"/>
      <c r="I400" s="9"/>
      <c r="J400" s="105"/>
    </row>
  </sheetData>
  <mergeCells count="258">
    <mergeCell ref="C386:D386"/>
    <mergeCell ref="C387:D387"/>
    <mergeCell ref="C380:D380"/>
    <mergeCell ref="C381:D381"/>
    <mergeCell ref="C382:D382"/>
    <mergeCell ref="C383:D383"/>
    <mergeCell ref="C384:D384"/>
    <mergeCell ref="C385:D385"/>
    <mergeCell ref="D373:E373"/>
    <mergeCell ref="C375:D375"/>
    <mergeCell ref="C376:D376"/>
    <mergeCell ref="C377:D377"/>
    <mergeCell ref="C378:D378"/>
    <mergeCell ref="C379:D379"/>
    <mergeCell ref="E361:E362"/>
    <mergeCell ref="B363:B364"/>
    <mergeCell ref="C363:C364"/>
    <mergeCell ref="D363:D364"/>
    <mergeCell ref="H363:H364"/>
    <mergeCell ref="D372:E372"/>
    <mergeCell ref="B357:D357"/>
    <mergeCell ref="B358:D358"/>
    <mergeCell ref="A359:A364"/>
    <mergeCell ref="B359:B360"/>
    <mergeCell ref="C359:C360"/>
    <mergeCell ref="D359:D360"/>
    <mergeCell ref="B361:B362"/>
    <mergeCell ref="C361:C362"/>
    <mergeCell ref="D361:D362"/>
    <mergeCell ref="A326:A358"/>
    <mergeCell ref="B327:B328"/>
    <mergeCell ref="C327:C328"/>
    <mergeCell ref="D327:D328"/>
    <mergeCell ref="B356:D356"/>
    <mergeCell ref="I347:I350"/>
    <mergeCell ref="B352:D352"/>
    <mergeCell ref="B353:D353"/>
    <mergeCell ref="B354:D354"/>
    <mergeCell ref="B355:D355"/>
    <mergeCell ref="H332:H335"/>
    <mergeCell ref="I332:I335"/>
    <mergeCell ref="B338:B340"/>
    <mergeCell ref="C338:C340"/>
    <mergeCell ref="D338:D340"/>
    <mergeCell ref="B341:B350"/>
    <mergeCell ref="C341:C350"/>
    <mergeCell ref="D341:D350"/>
    <mergeCell ref="H343:H345"/>
    <mergeCell ref="I343:I345"/>
    <mergeCell ref="B329:B335"/>
    <mergeCell ref="C329:C335"/>
    <mergeCell ref="D329:D335"/>
    <mergeCell ref="H347:H350"/>
    <mergeCell ref="I300:I302"/>
    <mergeCell ref="B306:B323"/>
    <mergeCell ref="D306:D307"/>
    <mergeCell ref="H306:H323"/>
    <mergeCell ref="D308:D314"/>
    <mergeCell ref="C309:C314"/>
    <mergeCell ref="C315:C323"/>
    <mergeCell ref="D315:D323"/>
    <mergeCell ref="A295:A325"/>
    <mergeCell ref="B295:B304"/>
    <mergeCell ref="C295:C304"/>
    <mergeCell ref="D295:D304"/>
    <mergeCell ref="I295:I296"/>
    <mergeCell ref="E296:E297"/>
    <mergeCell ref="F296:F297"/>
    <mergeCell ref="H298:H299"/>
    <mergeCell ref="I298:I299"/>
    <mergeCell ref="H300:H302"/>
    <mergeCell ref="B324:D324"/>
    <mergeCell ref="B325:D325"/>
    <mergeCell ref="E285:E288"/>
    <mergeCell ref="H285:H288"/>
    <mergeCell ref="I285:I286"/>
    <mergeCell ref="B290:B294"/>
    <mergeCell ref="C290:C294"/>
    <mergeCell ref="D290:D294"/>
    <mergeCell ref="E290:E294"/>
    <mergeCell ref="H290:H291"/>
    <mergeCell ref="B282:B284"/>
    <mergeCell ref="C282:C284"/>
    <mergeCell ref="D282:D284"/>
    <mergeCell ref="B285:B288"/>
    <mergeCell ref="C285:C288"/>
    <mergeCell ref="D285:D288"/>
    <mergeCell ref="H274:H275"/>
    <mergeCell ref="B276:B278"/>
    <mergeCell ref="C276:C278"/>
    <mergeCell ref="D276:D278"/>
    <mergeCell ref="B279:B281"/>
    <mergeCell ref="C279:C281"/>
    <mergeCell ref="D279:D281"/>
    <mergeCell ref="D264:D267"/>
    <mergeCell ref="B268:B270"/>
    <mergeCell ref="C268:C270"/>
    <mergeCell ref="D268:D270"/>
    <mergeCell ref="B272:B275"/>
    <mergeCell ref="C272:C275"/>
    <mergeCell ref="D272:D275"/>
    <mergeCell ref="A259:A261"/>
    <mergeCell ref="B260:B261"/>
    <mergeCell ref="C260:C261"/>
    <mergeCell ref="D260:D261"/>
    <mergeCell ref="A262:A294"/>
    <mergeCell ref="B262:B263"/>
    <mergeCell ref="C262:C263"/>
    <mergeCell ref="D262:D263"/>
    <mergeCell ref="B264:B267"/>
    <mergeCell ref="C264:C267"/>
    <mergeCell ref="B254:D254"/>
    <mergeCell ref="B255:D255"/>
    <mergeCell ref="B240:C240"/>
    <mergeCell ref="A241:A242"/>
    <mergeCell ref="A244:A257"/>
    <mergeCell ref="B244:B251"/>
    <mergeCell ref="C244:C251"/>
    <mergeCell ref="D244:D251"/>
    <mergeCell ref="B256:D256"/>
    <mergeCell ref="B257:D257"/>
    <mergeCell ref="A123:A240"/>
    <mergeCell ref="B124:B128"/>
    <mergeCell ref="C124:C128"/>
    <mergeCell ref="D124:D128"/>
    <mergeCell ref="B237:C237"/>
    <mergeCell ref="B238:C238"/>
    <mergeCell ref="B239:C239"/>
    <mergeCell ref="B236:C236"/>
    <mergeCell ref="B189:B227"/>
    <mergeCell ref="C189:C227"/>
    <mergeCell ref="D189:D227"/>
    <mergeCell ref="J195:J196"/>
    <mergeCell ref="H197:H201"/>
    <mergeCell ref="I197:I201"/>
    <mergeCell ref="H202:H207"/>
    <mergeCell ref="I202:I207"/>
    <mergeCell ref="E244:E248"/>
    <mergeCell ref="H244:H251"/>
    <mergeCell ref="B252:D252"/>
    <mergeCell ref="B253:D253"/>
    <mergeCell ref="E191:E192"/>
    <mergeCell ref="H191:H194"/>
    <mergeCell ref="I191:I194"/>
    <mergeCell ref="H208:H214"/>
    <mergeCell ref="I208:I214"/>
    <mergeCell ref="H215:H222"/>
    <mergeCell ref="I215:I222"/>
    <mergeCell ref="H223:H227"/>
    <mergeCell ref="I134:I136"/>
    <mergeCell ref="H137:H139"/>
    <mergeCell ref="H140:H141"/>
    <mergeCell ref="I140:I141"/>
    <mergeCell ref="H142:H145"/>
    <mergeCell ref="I142:I145"/>
    <mergeCell ref="I146:I152"/>
    <mergeCell ref="I153:I180"/>
    <mergeCell ref="I181:I188"/>
    <mergeCell ref="H195:H196"/>
    <mergeCell ref="I195:I196"/>
    <mergeCell ref="E129:E133"/>
    <mergeCell ref="H129:H131"/>
    <mergeCell ref="B134:B188"/>
    <mergeCell ref="C134:C188"/>
    <mergeCell ref="D134:D188"/>
    <mergeCell ref="H134:H136"/>
    <mergeCell ref="H146:H152"/>
    <mergeCell ref="B129:B133"/>
    <mergeCell ref="C129:C133"/>
    <mergeCell ref="D129:D133"/>
    <mergeCell ref="H153:H188"/>
    <mergeCell ref="A113:A122"/>
    <mergeCell ref="B117:C117"/>
    <mergeCell ref="B118:C118"/>
    <mergeCell ref="B119:C119"/>
    <mergeCell ref="B120:C120"/>
    <mergeCell ref="B121:C121"/>
    <mergeCell ref="B122:C122"/>
    <mergeCell ref="H95:H101"/>
    <mergeCell ref="B102:B106"/>
    <mergeCell ref="C102:C106"/>
    <mergeCell ref="D102:D106"/>
    <mergeCell ref="E102:E106"/>
    <mergeCell ref="B107:D107"/>
    <mergeCell ref="H56:H61"/>
    <mergeCell ref="B62:B69"/>
    <mergeCell ref="C62:C69"/>
    <mergeCell ref="D62:D69"/>
    <mergeCell ref="H62:H67"/>
    <mergeCell ref="B92:D92"/>
    <mergeCell ref="B93:D93"/>
    <mergeCell ref="A95:A108"/>
    <mergeCell ref="B95:B101"/>
    <mergeCell ref="C95:C101"/>
    <mergeCell ref="D95:D101"/>
    <mergeCell ref="B108:D108"/>
    <mergeCell ref="D70:D80"/>
    <mergeCell ref="H70:H80"/>
    <mergeCell ref="E72:E77"/>
    <mergeCell ref="B83:B84"/>
    <mergeCell ref="C83:C84"/>
    <mergeCell ref="D83:D84"/>
    <mergeCell ref="E83:E84"/>
    <mergeCell ref="B48:C48"/>
    <mergeCell ref="B49:C49"/>
    <mergeCell ref="A50:A93"/>
    <mergeCell ref="B53:B55"/>
    <mergeCell ref="C53:C55"/>
    <mergeCell ref="B70:B80"/>
    <mergeCell ref="C70:C80"/>
    <mergeCell ref="B91:D91"/>
    <mergeCell ref="D53:D55"/>
    <mergeCell ref="B56:B61"/>
    <mergeCell ref="C56:C61"/>
    <mergeCell ref="D56:D61"/>
    <mergeCell ref="B20:B23"/>
    <mergeCell ref="C20:C23"/>
    <mergeCell ref="D20:D23"/>
    <mergeCell ref="E20:E23"/>
    <mergeCell ref="B24:B32"/>
    <mergeCell ref="C24:C32"/>
    <mergeCell ref="D24:D32"/>
    <mergeCell ref="B46:C46"/>
    <mergeCell ref="B47:C47"/>
    <mergeCell ref="J9:J10"/>
    <mergeCell ref="B12:B19"/>
    <mergeCell ref="C12:C19"/>
    <mergeCell ref="D12:D19"/>
    <mergeCell ref="E12:E14"/>
    <mergeCell ref="F12:F14"/>
    <mergeCell ref="G12:G14"/>
    <mergeCell ref="H12:H14"/>
    <mergeCell ref="A8:J8"/>
    <mergeCell ref="A9:A49"/>
    <mergeCell ref="B9:B10"/>
    <mergeCell ref="C9:C10"/>
    <mergeCell ref="D9:D10"/>
    <mergeCell ref="E9:E10"/>
    <mergeCell ref="F9:F10"/>
    <mergeCell ref="G9:G10"/>
    <mergeCell ref="H9:H10"/>
    <mergeCell ref="I9:I10"/>
    <mergeCell ref="I27:I28"/>
    <mergeCell ref="B41:D41"/>
    <mergeCell ref="B42:D42"/>
    <mergeCell ref="B43:C43"/>
    <mergeCell ref="B44:C44"/>
    <mergeCell ref="B45:C45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2018-08-22T11:33:35Z</dcterms:modified>
</cp:coreProperties>
</file>