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80" windowWidth="16980" windowHeight="844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62" i="1" l="1"/>
  <c r="E62" i="1"/>
  <c r="F62" i="1"/>
  <c r="G62" i="1"/>
  <c r="H62" i="1"/>
  <c r="I62" i="1"/>
  <c r="J62" i="1"/>
  <c r="K62" i="1"/>
  <c r="L62" i="1"/>
  <c r="M62" i="1"/>
  <c r="N62" i="1"/>
  <c r="C62" i="1"/>
  <c r="N57" i="1" l="1"/>
  <c r="N58" i="1"/>
  <c r="N59" i="1"/>
  <c r="M57" i="1"/>
  <c r="M58" i="1"/>
  <c r="M59" i="1"/>
  <c r="L57" i="1"/>
  <c r="L58" i="1"/>
  <c r="L59" i="1"/>
  <c r="K57" i="1"/>
  <c r="K58" i="1"/>
  <c r="K59" i="1"/>
  <c r="J57" i="1"/>
  <c r="J58" i="1"/>
  <c r="J59" i="1"/>
  <c r="I57" i="1"/>
  <c r="I58" i="1"/>
  <c r="I59" i="1"/>
  <c r="H57" i="1"/>
  <c r="H58" i="1"/>
  <c r="H59" i="1"/>
  <c r="G57" i="1"/>
  <c r="G58" i="1"/>
  <c r="G59" i="1"/>
  <c r="H56" i="1"/>
  <c r="I56" i="1"/>
  <c r="J56" i="1"/>
  <c r="K56" i="1"/>
  <c r="L56" i="1"/>
  <c r="M56" i="1"/>
  <c r="N56" i="1"/>
  <c r="G56" i="1"/>
  <c r="F57" i="1"/>
  <c r="F58" i="1"/>
  <c r="F59" i="1"/>
  <c r="E57" i="1"/>
  <c r="E58" i="1"/>
  <c r="E59" i="1"/>
  <c r="F56" i="1"/>
  <c r="E56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17" i="1"/>
  <c r="I17" i="1"/>
  <c r="J17" i="1"/>
  <c r="K17" i="1"/>
  <c r="L17" i="1"/>
  <c r="M17" i="1"/>
  <c r="N17" i="1"/>
  <c r="G17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18" i="1"/>
  <c r="F19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F17" i="1"/>
  <c r="E17" i="1"/>
  <c r="N11" i="1"/>
  <c r="N12" i="1"/>
  <c r="N13" i="1"/>
  <c r="M11" i="1"/>
  <c r="M12" i="1"/>
  <c r="M13" i="1"/>
  <c r="L11" i="1"/>
  <c r="L12" i="1"/>
  <c r="L14" i="1" s="1"/>
  <c r="L13" i="1"/>
  <c r="K11" i="1"/>
  <c r="K12" i="1"/>
  <c r="K13" i="1"/>
  <c r="J11" i="1"/>
  <c r="J12" i="1"/>
  <c r="J13" i="1"/>
  <c r="H11" i="1"/>
  <c r="H12" i="1"/>
  <c r="H13" i="1"/>
  <c r="I11" i="1"/>
  <c r="I12" i="1"/>
  <c r="I13" i="1"/>
  <c r="G11" i="1"/>
  <c r="G12" i="1"/>
  <c r="G13" i="1"/>
  <c r="H10" i="1"/>
  <c r="I10" i="1"/>
  <c r="J10" i="1"/>
  <c r="K10" i="1"/>
  <c r="L10" i="1"/>
  <c r="M10" i="1"/>
  <c r="N10" i="1"/>
  <c r="G10" i="1"/>
  <c r="F11" i="1"/>
  <c r="F12" i="1"/>
  <c r="F13" i="1"/>
  <c r="E11" i="1"/>
  <c r="E12" i="1"/>
  <c r="E13" i="1"/>
  <c r="F10" i="1"/>
  <c r="E10" i="1"/>
  <c r="FB35" i="1"/>
  <c r="FA35" i="1"/>
  <c r="EZ35" i="1"/>
  <c r="EY35" i="1"/>
  <c r="EX35" i="1"/>
  <c r="EW35" i="1"/>
  <c r="EV35" i="1"/>
  <c r="EU35" i="1"/>
  <c r="ET35" i="1"/>
  <c r="ES35" i="1"/>
  <c r="EX21" i="1"/>
  <c r="EZ17" i="1"/>
  <c r="EY17" i="1"/>
  <c r="FB27" i="1"/>
  <c r="EW27" i="1"/>
  <c r="EV27" i="1"/>
  <c r="EU27" i="1"/>
  <c r="FA46" i="1"/>
  <c r="FB12" i="1"/>
  <c r="FA12" i="1"/>
  <c r="EZ12" i="1"/>
  <c r="EY12" i="1"/>
  <c r="EX12" i="1"/>
  <c r="EW12" i="1"/>
  <c r="EV12" i="1"/>
  <c r="EU12" i="1"/>
  <c r="ET12" i="1"/>
  <c r="ES12" i="1"/>
  <c r="FA10" i="1"/>
  <c r="EZ10" i="1"/>
  <c r="EY10" i="1"/>
  <c r="EX10" i="1"/>
  <c r="EW10" i="1"/>
  <c r="EV10" i="1"/>
  <c r="EU10" i="1"/>
  <c r="ET10" i="1"/>
  <c r="ES10" i="1"/>
  <c r="FB10" i="1"/>
  <c r="ES22" i="1"/>
  <c r="FB29" i="1"/>
  <c r="FA29" i="1"/>
  <c r="EZ29" i="1"/>
  <c r="EY29" i="1"/>
  <c r="EX29" i="1"/>
  <c r="EW29" i="1"/>
  <c r="EV29" i="1"/>
  <c r="EU29" i="1"/>
  <c r="ET29" i="1"/>
  <c r="ES29" i="1"/>
  <c r="FB11" i="1"/>
  <c r="FA11" i="1"/>
  <c r="EZ11" i="1"/>
  <c r="EX11" i="1"/>
  <c r="EW11" i="1"/>
  <c r="EV11" i="1"/>
  <c r="EU11" i="1"/>
  <c r="ET11" i="1"/>
  <c r="ES11" i="1"/>
  <c r="EY11" i="1"/>
  <c r="ER60" i="1" l="1"/>
  <c r="EQ58" i="1"/>
  <c r="EQ57" i="1"/>
  <c r="EQ56" i="1"/>
  <c r="EQ55" i="1" s="1"/>
  <c r="EQ53" i="1"/>
  <c r="EQ52" i="1"/>
  <c r="EQ51" i="1"/>
  <c r="EQ50" i="1"/>
  <c r="EQ49" i="1"/>
  <c r="EQ48" i="1"/>
  <c r="EQ46" i="1"/>
  <c r="EQ45" i="1"/>
  <c r="EQ44" i="1"/>
  <c r="EQ43" i="1"/>
  <c r="EQ42" i="1"/>
  <c r="EQ41" i="1"/>
  <c r="EQ40" i="1"/>
  <c r="EQ39" i="1"/>
  <c r="EQ38" i="1"/>
  <c r="EQ37" i="1"/>
  <c r="EQ36" i="1"/>
  <c r="EQ35" i="1"/>
  <c r="EQ34" i="1"/>
  <c r="EQ33" i="1"/>
  <c r="EQ32" i="1"/>
  <c r="EQ31" i="1"/>
  <c r="FB30" i="1"/>
  <c r="EV30" i="1"/>
  <c r="ET30" i="1"/>
  <c r="EQ30" i="1" s="1"/>
  <c r="EQ29" i="1"/>
  <c r="EQ28" i="1"/>
  <c r="EQ27" i="1"/>
  <c r="EQ26" i="1"/>
  <c r="EQ25" i="1"/>
  <c r="EQ24" i="1"/>
  <c r="EQ23" i="1"/>
  <c r="EQ22" i="1"/>
  <c r="EQ21" i="1"/>
  <c r="EQ20" i="1"/>
  <c r="FB19" i="1"/>
  <c r="FA19" i="1"/>
  <c r="EZ19" i="1"/>
  <c r="EY19" i="1"/>
  <c r="EX19" i="1"/>
  <c r="EW19" i="1"/>
  <c r="EV19" i="1"/>
  <c r="EU19" i="1"/>
  <c r="ET19" i="1"/>
  <c r="ES19" i="1"/>
  <c r="FB18" i="1"/>
  <c r="FB54" i="1" s="1"/>
  <c r="FB60" i="1" s="1"/>
  <c r="FA18" i="1"/>
  <c r="FA54" i="1" s="1"/>
  <c r="FA60" i="1" s="1"/>
  <c r="EZ18" i="1"/>
  <c r="EZ54" i="1" s="1"/>
  <c r="EZ60" i="1" s="1"/>
  <c r="EY18" i="1"/>
  <c r="EX18" i="1"/>
  <c r="EW18" i="1"/>
  <c r="EW54" i="1" s="1"/>
  <c r="EW60" i="1" s="1"/>
  <c r="EV18" i="1"/>
  <c r="EV54" i="1" s="1"/>
  <c r="EV60" i="1" s="1"/>
  <c r="EU18" i="1"/>
  <c r="ET18" i="1"/>
  <c r="ET54" i="1" s="1"/>
  <c r="ET60" i="1" s="1"/>
  <c r="ES18" i="1"/>
  <c r="ES54" i="1" s="1"/>
  <c r="ES60" i="1" s="1"/>
  <c r="EQ17" i="1"/>
  <c r="ER14" i="1"/>
  <c r="EQ13" i="1"/>
  <c r="FA14" i="1"/>
  <c r="EQ12" i="1"/>
  <c r="ES14" i="1"/>
  <c r="EZ14" i="1"/>
  <c r="EV14" i="1"/>
  <c r="EQ11" i="1"/>
  <c r="FB14" i="1"/>
  <c r="EY14" i="1"/>
  <c r="EX14" i="1"/>
  <c r="EU14" i="1"/>
  <c r="ET14" i="1"/>
  <c r="EQ10" i="1"/>
  <c r="EQ4" i="1"/>
  <c r="EY54" i="1" l="1"/>
  <c r="EY60" i="1" s="1"/>
  <c r="EX54" i="1"/>
  <c r="EX60" i="1" s="1"/>
  <c r="EQ18" i="1"/>
  <c r="EU54" i="1"/>
  <c r="EU60" i="1" s="1"/>
  <c r="EQ19" i="1"/>
  <c r="EQ14" i="1"/>
  <c r="EW14" i="1"/>
  <c r="DR11" i="1"/>
  <c r="DS11" i="1"/>
  <c r="EF11" i="1"/>
  <c r="EF10" i="1"/>
  <c r="EG11" i="1"/>
  <c r="EQ54" i="1" l="1"/>
  <c r="EQ60" i="1" s="1"/>
  <c r="E54" i="1"/>
  <c r="EN35" i="1"/>
  <c r="EM35" i="1"/>
  <c r="EL35" i="1"/>
  <c r="EK35" i="1"/>
  <c r="EJ35" i="1"/>
  <c r="EI35" i="1"/>
  <c r="EH35" i="1"/>
  <c r="EG35" i="1"/>
  <c r="EF35" i="1"/>
  <c r="EE35" i="1"/>
  <c r="EF44" i="1"/>
  <c r="EN27" i="1"/>
  <c r="EI27" i="1"/>
  <c r="EH27" i="1"/>
  <c r="EG27" i="1"/>
  <c r="EM11" i="1"/>
  <c r="EL11" i="1"/>
  <c r="EK11" i="1"/>
  <c r="EJ11" i="1"/>
  <c r="EI11" i="1"/>
  <c r="EH11" i="1"/>
  <c r="EN11" i="1"/>
  <c r="EN12" i="1"/>
  <c r="EM12" i="1"/>
  <c r="EL12" i="1"/>
  <c r="EK12" i="1"/>
  <c r="EJ12" i="1"/>
  <c r="EI12" i="1"/>
  <c r="EH12" i="1"/>
  <c r="EG12" i="1"/>
  <c r="EE12" i="1"/>
  <c r="EE11" i="1" l="1"/>
  <c r="EC11" i="1" l="1"/>
  <c r="EC14" i="1" s="1"/>
  <c r="EM10" i="1"/>
  <c r="EL10" i="1"/>
  <c r="EK10" i="1"/>
  <c r="EJ10" i="1"/>
  <c r="EI10" i="1"/>
  <c r="EH10" i="1"/>
  <c r="EG10" i="1"/>
  <c r="EE10" i="1"/>
  <c r="EN10" i="1"/>
  <c r="ED60" i="1"/>
  <c r="EC58" i="1"/>
  <c r="EC55" i="1" s="1"/>
  <c r="EC57" i="1"/>
  <c r="EC56" i="1"/>
  <c r="EC53" i="1"/>
  <c r="EC52" i="1"/>
  <c r="EC51" i="1"/>
  <c r="EC50" i="1"/>
  <c r="EC49" i="1"/>
  <c r="EC48" i="1"/>
  <c r="EC46" i="1"/>
  <c r="EC45" i="1"/>
  <c r="EC44" i="1"/>
  <c r="EC43" i="1"/>
  <c r="EC42" i="1"/>
  <c r="EC41" i="1"/>
  <c r="EC40" i="1"/>
  <c r="EC39" i="1"/>
  <c r="EC38" i="1"/>
  <c r="EC37" i="1"/>
  <c r="EC36" i="1"/>
  <c r="EC35" i="1"/>
  <c r="EC34" i="1"/>
  <c r="EC33" i="1"/>
  <c r="EC32" i="1"/>
  <c r="EC31" i="1"/>
  <c r="EN30" i="1"/>
  <c r="EL30" i="1"/>
  <c r="EC30" i="1" s="1"/>
  <c r="EJ30" i="1"/>
  <c r="EH30" i="1"/>
  <c r="EF30" i="1"/>
  <c r="EC29" i="1"/>
  <c r="EC28" i="1"/>
  <c r="EC27" i="1"/>
  <c r="EC26" i="1"/>
  <c r="EC25" i="1"/>
  <c r="EC24" i="1"/>
  <c r="EC23" i="1"/>
  <c r="EC22" i="1"/>
  <c r="EC21" i="1"/>
  <c r="EC20" i="1"/>
  <c r="EN19" i="1"/>
  <c r="EM19" i="1"/>
  <c r="EL19" i="1"/>
  <c r="EK19" i="1"/>
  <c r="EJ19" i="1"/>
  <c r="EI19" i="1"/>
  <c r="EH19" i="1"/>
  <c r="EG19" i="1"/>
  <c r="EF19" i="1"/>
  <c r="EE19" i="1"/>
  <c r="EN18" i="1"/>
  <c r="EN54" i="1" s="1"/>
  <c r="EN60" i="1" s="1"/>
  <c r="EM18" i="1"/>
  <c r="EL18" i="1"/>
  <c r="EL54" i="1" s="1"/>
  <c r="EL60" i="1" s="1"/>
  <c r="EK18" i="1"/>
  <c r="EK54" i="1" s="1"/>
  <c r="EK60" i="1" s="1"/>
  <c r="EJ18" i="1"/>
  <c r="EJ54" i="1" s="1"/>
  <c r="EJ60" i="1" s="1"/>
  <c r="EI18" i="1"/>
  <c r="EH18" i="1"/>
  <c r="EH54" i="1" s="1"/>
  <c r="EH60" i="1" s="1"/>
  <c r="EG18" i="1"/>
  <c r="EG54" i="1" s="1"/>
  <c r="EG60" i="1" s="1"/>
  <c r="EF18" i="1"/>
  <c r="EF54" i="1" s="1"/>
  <c r="EF60" i="1" s="1"/>
  <c r="EE18" i="1"/>
  <c r="EE54" i="1" s="1"/>
  <c r="EE60" i="1" s="1"/>
  <c r="EC17" i="1"/>
  <c r="ED14" i="1"/>
  <c r="EC13" i="1"/>
  <c r="EC12" i="1"/>
  <c r="EN14" i="1"/>
  <c r="EM14" i="1"/>
  <c r="EL14" i="1"/>
  <c r="EI14" i="1"/>
  <c r="EE14" i="1"/>
  <c r="EK14" i="1"/>
  <c r="EJ14" i="1"/>
  <c r="EG14" i="1"/>
  <c r="EF14" i="1"/>
  <c r="EC4" i="1"/>
  <c r="DO35" i="1"/>
  <c r="DZ35" i="1"/>
  <c r="DY35" i="1"/>
  <c r="DX35" i="1"/>
  <c r="DW35" i="1"/>
  <c r="DV35" i="1"/>
  <c r="DU35" i="1"/>
  <c r="DT35" i="1"/>
  <c r="DS35" i="1"/>
  <c r="DR35" i="1"/>
  <c r="DQ35" i="1"/>
  <c r="DV34" i="1"/>
  <c r="DX42" i="1"/>
  <c r="DY42" i="1"/>
  <c r="DT43" i="1"/>
  <c r="DV12" i="1"/>
  <c r="EM54" i="1" l="1"/>
  <c r="EM60" i="1" s="1"/>
  <c r="EI54" i="1"/>
  <c r="EI60" i="1" s="1"/>
  <c r="EC19" i="1"/>
  <c r="EC18" i="1"/>
  <c r="EH14" i="1"/>
  <c r="EC10" i="1"/>
  <c r="EC54" i="1" l="1"/>
  <c r="EC60" i="1" s="1"/>
  <c r="DY12" i="1"/>
  <c r="DX12" i="1"/>
  <c r="DW12" i="1"/>
  <c r="DU12" i="1"/>
  <c r="DT12" i="1"/>
  <c r="DS12" i="1"/>
  <c r="DQ14" i="1"/>
  <c r="DQ12" i="1"/>
  <c r="DZ12" i="1"/>
  <c r="DR12" i="1"/>
  <c r="DY11" i="1" l="1"/>
  <c r="DX11" i="1"/>
  <c r="DW11" i="1"/>
  <c r="DV11" i="1"/>
  <c r="DQ11" i="1"/>
  <c r="DR10" i="1"/>
  <c r="DQ10" i="1"/>
  <c r="DZ11" i="1"/>
  <c r="DU11" i="1"/>
  <c r="DT11" i="1"/>
  <c r="DR14" i="1"/>
  <c r="DV14" i="1"/>
  <c r="DY10" i="1"/>
  <c r="DX10" i="1"/>
  <c r="DW10" i="1"/>
  <c r="DV10" i="1"/>
  <c r="DU10" i="1"/>
  <c r="DT10" i="1"/>
  <c r="DS10" i="1"/>
  <c r="DP60" i="1"/>
  <c r="DO58" i="1"/>
  <c r="DO57" i="1"/>
  <c r="DO56" i="1"/>
  <c r="DO55" i="1"/>
  <c r="DO53" i="1"/>
  <c r="DO52" i="1"/>
  <c r="DO51" i="1"/>
  <c r="DO50" i="1"/>
  <c r="DO49" i="1"/>
  <c r="DO48" i="1"/>
  <c r="DO46" i="1"/>
  <c r="DO45" i="1"/>
  <c r="DO44" i="1"/>
  <c r="DO43" i="1"/>
  <c r="DO42" i="1"/>
  <c r="DO41" i="1"/>
  <c r="DO40" i="1"/>
  <c r="DO39" i="1"/>
  <c r="DO38" i="1"/>
  <c r="DO37" i="1"/>
  <c r="DO36" i="1"/>
  <c r="DO34" i="1"/>
  <c r="DO33" i="1"/>
  <c r="DO32" i="1"/>
  <c r="DO31" i="1"/>
  <c r="DZ30" i="1"/>
  <c r="DX30" i="1"/>
  <c r="DV30" i="1"/>
  <c r="DT30" i="1"/>
  <c r="DR30" i="1"/>
  <c r="DO30" i="1" s="1"/>
  <c r="DO29" i="1"/>
  <c r="DO28" i="1"/>
  <c r="DO27" i="1"/>
  <c r="DO26" i="1"/>
  <c r="DO25" i="1"/>
  <c r="DO24" i="1"/>
  <c r="DO23" i="1"/>
  <c r="DO22" i="1"/>
  <c r="DO21" i="1"/>
  <c r="DO20" i="1"/>
  <c r="DZ19" i="1"/>
  <c r="DY19" i="1"/>
  <c r="DX19" i="1"/>
  <c r="DW19" i="1"/>
  <c r="DV19" i="1"/>
  <c r="DU19" i="1"/>
  <c r="DT19" i="1"/>
  <c r="DS19" i="1"/>
  <c r="DR19" i="1"/>
  <c r="DQ19" i="1"/>
  <c r="DZ18" i="1"/>
  <c r="DZ54" i="1" s="1"/>
  <c r="DZ60" i="1" s="1"/>
  <c r="DY18" i="1"/>
  <c r="DX18" i="1"/>
  <c r="DX54" i="1" s="1"/>
  <c r="DX60" i="1" s="1"/>
  <c r="DW18" i="1"/>
  <c r="DV18" i="1"/>
  <c r="DV54" i="1" s="1"/>
  <c r="DV60" i="1" s="1"/>
  <c r="DU18" i="1"/>
  <c r="DT18" i="1"/>
  <c r="DT54" i="1" s="1"/>
  <c r="DT60" i="1" s="1"/>
  <c r="DS18" i="1"/>
  <c r="DR18" i="1"/>
  <c r="DR54" i="1" s="1"/>
  <c r="DR60" i="1" s="1"/>
  <c r="DQ18" i="1"/>
  <c r="DO17" i="1"/>
  <c r="DP14" i="1"/>
  <c r="DO13" i="1"/>
  <c r="DO12" i="1"/>
  <c r="DZ14" i="1"/>
  <c r="DY14" i="1"/>
  <c r="DW14" i="1"/>
  <c r="DU14" i="1"/>
  <c r="DT14" i="1"/>
  <c r="DS14" i="1"/>
  <c r="DO10" i="1"/>
  <c r="DO4" i="1"/>
  <c r="DY54" i="1" l="1"/>
  <c r="DY60" i="1" s="1"/>
  <c r="DW54" i="1"/>
  <c r="DW60" i="1" s="1"/>
  <c r="DU54" i="1"/>
  <c r="DU60" i="1" s="1"/>
  <c r="DS54" i="1"/>
  <c r="DS60" i="1" s="1"/>
  <c r="DO19" i="1"/>
  <c r="DQ54" i="1"/>
  <c r="DQ60" i="1" s="1"/>
  <c r="DO11" i="1"/>
  <c r="DO14" i="1" s="1"/>
  <c r="DX14" i="1"/>
  <c r="DO18" i="1"/>
  <c r="DO54" i="1" s="1"/>
  <c r="DO60" i="1" s="1"/>
  <c r="DC12" i="1"/>
  <c r="DD12" i="1"/>
  <c r="DK12" i="1"/>
  <c r="DK10" i="1"/>
  <c r="DJ10" i="1"/>
  <c r="DI12" i="1"/>
  <c r="DI10" i="1"/>
  <c r="DH10" i="1"/>
  <c r="DH12" i="1"/>
  <c r="DG10" i="1"/>
  <c r="DG12" i="1"/>
  <c r="DF10" i="1"/>
  <c r="DF12" i="1"/>
  <c r="DE10" i="1"/>
  <c r="DE12" i="1"/>
  <c r="DD10" i="1"/>
  <c r="DC10" i="1"/>
  <c r="DL10" i="1"/>
  <c r="DL12" i="1"/>
  <c r="DG34" i="1" l="1"/>
  <c r="DL46" i="1"/>
  <c r="DK46" i="1"/>
  <c r="DJ46" i="1"/>
  <c r="DI46" i="1"/>
  <c r="DH46" i="1"/>
  <c r="DG46" i="1"/>
  <c r="DF46" i="1"/>
  <c r="DE46" i="1"/>
  <c r="DD46" i="1"/>
  <c r="DC46" i="1"/>
  <c r="DJ12" i="1"/>
  <c r="DL35" i="1"/>
  <c r="DK35" i="1"/>
  <c r="DJ35" i="1"/>
  <c r="DI35" i="1"/>
  <c r="DH35" i="1"/>
  <c r="DG35" i="1"/>
  <c r="DF35" i="1"/>
  <c r="DE35" i="1"/>
  <c r="DD35" i="1"/>
  <c r="DC35" i="1"/>
  <c r="DF34" i="1"/>
  <c r="DE34" i="1"/>
  <c r="DK52" i="1"/>
  <c r="DJ52" i="1"/>
  <c r="DF52" i="1"/>
  <c r="DE31" i="1"/>
  <c r="DD11" i="1" l="1"/>
  <c r="DL11" i="1"/>
  <c r="DK11" i="1"/>
  <c r="DJ11" i="1"/>
  <c r="DH11" i="1"/>
  <c r="DG11" i="1"/>
  <c r="DF11" i="1"/>
  <c r="DE11" i="1"/>
  <c r="DI11" i="1"/>
  <c r="DC11" i="1"/>
  <c r="DB60" i="1"/>
  <c r="DA58" i="1"/>
  <c r="DA57" i="1"/>
  <c r="DA56" i="1"/>
  <c r="DA55" i="1" s="1"/>
  <c r="DA53" i="1"/>
  <c r="DA52" i="1"/>
  <c r="DA51" i="1"/>
  <c r="DA50" i="1"/>
  <c r="DA49" i="1"/>
  <c r="DA48" i="1"/>
  <c r="DA46" i="1"/>
  <c r="DA45" i="1"/>
  <c r="DA44" i="1"/>
  <c r="DA43" i="1"/>
  <c r="DA42" i="1"/>
  <c r="DA41" i="1"/>
  <c r="DA40" i="1"/>
  <c r="DA39" i="1"/>
  <c r="DA38" i="1"/>
  <c r="DA37" i="1"/>
  <c r="DA36" i="1"/>
  <c r="DA35" i="1"/>
  <c r="DA34" i="1"/>
  <c r="DA33" i="1"/>
  <c r="DA32" i="1"/>
  <c r="DA31" i="1"/>
  <c r="DL30" i="1"/>
  <c r="DJ30" i="1"/>
  <c r="DH30" i="1"/>
  <c r="DF30" i="1"/>
  <c r="DD30" i="1"/>
  <c r="DA30" i="1" s="1"/>
  <c r="DA29" i="1"/>
  <c r="DA28" i="1"/>
  <c r="DA27" i="1"/>
  <c r="DA26" i="1"/>
  <c r="DA25" i="1"/>
  <c r="DA24" i="1"/>
  <c r="DA23" i="1"/>
  <c r="DA22" i="1"/>
  <c r="DA21" i="1"/>
  <c r="DA20" i="1"/>
  <c r="DL19" i="1"/>
  <c r="DK19" i="1"/>
  <c r="DJ19" i="1"/>
  <c r="DI19" i="1"/>
  <c r="DH19" i="1"/>
  <c r="DG19" i="1"/>
  <c r="DF19" i="1"/>
  <c r="DE19" i="1"/>
  <c r="DD19" i="1"/>
  <c r="DC19" i="1"/>
  <c r="DL18" i="1"/>
  <c r="DK18" i="1"/>
  <c r="DJ18" i="1"/>
  <c r="DJ54" i="1" s="1"/>
  <c r="DJ60" i="1" s="1"/>
  <c r="DI18" i="1"/>
  <c r="DI54" i="1" s="1"/>
  <c r="DI60" i="1" s="1"/>
  <c r="DH18" i="1"/>
  <c r="DH54" i="1" s="1"/>
  <c r="DH60" i="1" s="1"/>
  <c r="DG18" i="1"/>
  <c r="DG54" i="1" s="1"/>
  <c r="DG60" i="1" s="1"/>
  <c r="DF18" i="1"/>
  <c r="DF54" i="1" s="1"/>
  <c r="DF60" i="1" s="1"/>
  <c r="DE18" i="1"/>
  <c r="DE54" i="1" s="1"/>
  <c r="DE60" i="1" s="1"/>
  <c r="DD18" i="1"/>
  <c r="DD54" i="1" s="1"/>
  <c r="DD60" i="1" s="1"/>
  <c r="DC18" i="1"/>
  <c r="DC54" i="1" s="1"/>
  <c r="DC60" i="1" s="1"/>
  <c r="DA17" i="1"/>
  <c r="DB14" i="1"/>
  <c r="DA13" i="1"/>
  <c r="DK14" i="1"/>
  <c r="DG14" i="1"/>
  <c r="DC14" i="1"/>
  <c r="DA12" i="1"/>
  <c r="DJ14" i="1"/>
  <c r="DF14" i="1"/>
  <c r="DA11" i="1"/>
  <c r="DL14" i="1"/>
  <c r="DI14" i="1"/>
  <c r="DH14" i="1"/>
  <c r="DE14" i="1"/>
  <c r="DD14" i="1"/>
  <c r="DA4" i="1"/>
  <c r="DK54" i="1" l="1"/>
  <c r="DK60" i="1" s="1"/>
  <c r="DA19" i="1"/>
  <c r="DL54" i="1"/>
  <c r="DL60" i="1" s="1"/>
  <c r="DA18" i="1"/>
  <c r="DA54" i="1" s="1"/>
  <c r="DA60" i="1" s="1"/>
  <c r="DA10" i="1"/>
  <c r="DA14" i="1" s="1"/>
  <c r="AF12" i="1"/>
  <c r="CW35" i="1" l="1"/>
  <c r="CV35" i="1"/>
  <c r="CU35" i="1"/>
  <c r="CT35" i="1"/>
  <c r="CS35" i="1"/>
  <c r="CR35" i="1"/>
  <c r="CU48" i="1"/>
  <c r="CS49" i="1"/>
  <c r="CR49" i="1"/>
  <c r="CX34" i="1"/>
  <c r="CW34" i="1"/>
  <c r="CV34" i="1"/>
  <c r="CU34" i="1"/>
  <c r="CT34" i="1"/>
  <c r="CS34" i="1"/>
  <c r="CR34" i="1"/>
  <c r="CQ34" i="1"/>
  <c r="CP34" i="1"/>
  <c r="CO34" i="1"/>
  <c r="CU42" i="1"/>
  <c r="CT42" i="1"/>
  <c r="CM42" i="1" s="1"/>
  <c r="CX35" i="1"/>
  <c r="CQ35" i="1"/>
  <c r="CP35" i="1"/>
  <c r="CO35" i="1"/>
  <c r="CW12" i="1"/>
  <c r="CV12" i="1"/>
  <c r="CU12" i="1"/>
  <c r="CT12" i="1"/>
  <c r="CS12" i="1"/>
  <c r="CR12" i="1"/>
  <c r="CQ12" i="1"/>
  <c r="CP12" i="1"/>
  <c r="CO12" i="1"/>
  <c r="CM53" i="1"/>
  <c r="CM46" i="1"/>
  <c r="CM41" i="1"/>
  <c r="CM32" i="1"/>
  <c r="CM31" i="1"/>
  <c r="CM28" i="1"/>
  <c r="CM27" i="1"/>
  <c r="CM26" i="1"/>
  <c r="CM22" i="1"/>
  <c r="CM21" i="1"/>
  <c r="CM20" i="1"/>
  <c r="CM17" i="1"/>
  <c r="CM34" i="1" l="1"/>
  <c r="CM35" i="1"/>
  <c r="CO14" i="1" l="1"/>
  <c r="CW10" i="1"/>
  <c r="CV10" i="1"/>
  <c r="CU10" i="1"/>
  <c r="CT10" i="1"/>
  <c r="CS10" i="1"/>
  <c r="CR10" i="1"/>
  <c r="CQ10" i="1"/>
  <c r="CP10" i="1"/>
  <c r="CO10" i="1"/>
  <c r="CX10" i="1"/>
  <c r="CR11" i="1"/>
  <c r="CW11" i="1"/>
  <c r="CV11" i="1"/>
  <c r="CU11" i="1"/>
  <c r="CT11" i="1"/>
  <c r="CS11" i="1"/>
  <c r="CQ11" i="1"/>
  <c r="CP11" i="1"/>
  <c r="CO11" i="1"/>
  <c r="CX11" i="1"/>
  <c r="CN60" i="1"/>
  <c r="CM58" i="1"/>
  <c r="CM55" i="1" s="1"/>
  <c r="CM57" i="1"/>
  <c r="CM56" i="1"/>
  <c r="CM52" i="1"/>
  <c r="CM51" i="1"/>
  <c r="CM50" i="1"/>
  <c r="CM49" i="1"/>
  <c r="CM48" i="1"/>
  <c r="CM45" i="1"/>
  <c r="CM44" i="1"/>
  <c r="CM43" i="1"/>
  <c r="CM40" i="1"/>
  <c r="CM39" i="1"/>
  <c r="CM38" i="1"/>
  <c r="CM37" i="1"/>
  <c r="CM36" i="1"/>
  <c r="CM33" i="1"/>
  <c r="CX30" i="1"/>
  <c r="CV30" i="1"/>
  <c r="CT30" i="1"/>
  <c r="CR30" i="1"/>
  <c r="CP30" i="1"/>
  <c r="CM30" i="1"/>
  <c r="CM29" i="1"/>
  <c r="CM25" i="1"/>
  <c r="CM24" i="1"/>
  <c r="CM23" i="1"/>
  <c r="CX19" i="1"/>
  <c r="CW19" i="1"/>
  <c r="CV19" i="1"/>
  <c r="CU19" i="1"/>
  <c r="CT19" i="1"/>
  <c r="CS19" i="1"/>
  <c r="CR19" i="1"/>
  <c r="CQ19" i="1"/>
  <c r="CP19" i="1"/>
  <c r="CO19" i="1"/>
  <c r="CX18" i="1"/>
  <c r="CW18" i="1"/>
  <c r="CW54" i="1" s="1"/>
  <c r="CW60" i="1" s="1"/>
  <c r="CV18" i="1"/>
  <c r="CU18" i="1"/>
  <c r="CU54" i="1" s="1"/>
  <c r="CU60" i="1" s="1"/>
  <c r="CT18" i="1"/>
  <c r="CS18" i="1"/>
  <c r="CS54" i="1" s="1"/>
  <c r="CS60" i="1" s="1"/>
  <c r="CR18" i="1"/>
  <c r="CQ18" i="1"/>
  <c r="CQ54" i="1" s="1"/>
  <c r="CQ60" i="1" s="1"/>
  <c r="CP18" i="1"/>
  <c r="CO18" i="1"/>
  <c r="CN14" i="1"/>
  <c r="CM13" i="1"/>
  <c r="CM12" i="1"/>
  <c r="CM11" i="1"/>
  <c r="CX14" i="1"/>
  <c r="CW14" i="1"/>
  <c r="CV14" i="1"/>
  <c r="CU14" i="1"/>
  <c r="CT14" i="1"/>
  <c r="CS14" i="1"/>
  <c r="CR14" i="1"/>
  <c r="CQ14" i="1"/>
  <c r="CP14" i="1"/>
  <c r="CM10" i="1"/>
  <c r="CM4" i="1"/>
  <c r="CV54" i="1" l="1"/>
  <c r="CV60" i="1" s="1"/>
  <c r="CR54" i="1"/>
  <c r="CR60" i="1" s="1"/>
  <c r="CP54" i="1"/>
  <c r="CP60" i="1" s="1"/>
  <c r="CX54" i="1"/>
  <c r="CX60" i="1" s="1"/>
  <c r="CM19" i="1"/>
  <c r="CT54" i="1"/>
  <c r="CT60" i="1" s="1"/>
  <c r="CO54" i="1"/>
  <c r="CO60" i="1" s="1"/>
  <c r="CM18" i="1"/>
  <c r="CM14" i="1"/>
  <c r="CA12" i="1"/>
  <c r="CH12" i="1"/>
  <c r="CG12" i="1"/>
  <c r="CF12" i="1"/>
  <c r="CB12" i="1"/>
  <c r="CJ12" i="1"/>
  <c r="CI12" i="1"/>
  <c r="CE12" i="1"/>
  <c r="CD11" i="1"/>
  <c r="CI11" i="1"/>
  <c r="CH11" i="1"/>
  <c r="CG11" i="1"/>
  <c r="CF11" i="1"/>
  <c r="CE11" i="1"/>
  <c r="CC11" i="1"/>
  <c r="CB11" i="1"/>
  <c r="CA11" i="1"/>
  <c r="CB10" i="1"/>
  <c r="CA10" i="1"/>
  <c r="CI10" i="1"/>
  <c r="CH10" i="1"/>
  <c r="CG10" i="1"/>
  <c r="CF10" i="1"/>
  <c r="CE10" i="1"/>
  <c r="CD10" i="1"/>
  <c r="CC10" i="1"/>
  <c r="CJ10" i="1"/>
  <c r="CE35" i="1"/>
  <c r="CA35" i="1"/>
  <c r="CJ35" i="1"/>
  <c r="CI35" i="1"/>
  <c r="CH35" i="1"/>
  <c r="CG35" i="1"/>
  <c r="CF35" i="1"/>
  <c r="CD35" i="1"/>
  <c r="CC35" i="1"/>
  <c r="CB35" i="1"/>
  <c r="CM54" i="1" l="1"/>
  <c r="CM60" i="1" s="1"/>
  <c r="BZ60" i="1"/>
  <c r="BY58" i="1"/>
  <c r="BY57" i="1"/>
  <c r="BY56" i="1"/>
  <c r="BY55" i="1" s="1"/>
  <c r="BY53" i="1"/>
  <c r="BY52" i="1"/>
  <c r="BY51" i="1"/>
  <c r="BY50" i="1"/>
  <c r="BY49" i="1"/>
  <c r="BY48" i="1"/>
  <c r="BY46" i="1"/>
  <c r="BY45" i="1"/>
  <c r="BY44" i="1"/>
  <c r="BY43" i="1"/>
  <c r="BY42" i="1"/>
  <c r="BY41" i="1"/>
  <c r="BY40" i="1"/>
  <c r="BY39" i="1"/>
  <c r="BY38" i="1"/>
  <c r="BY37" i="1"/>
  <c r="BY36" i="1"/>
  <c r="BY35" i="1"/>
  <c r="BY34" i="1"/>
  <c r="BY33" i="1"/>
  <c r="BY32" i="1"/>
  <c r="BY31" i="1"/>
  <c r="CJ30" i="1"/>
  <c r="CH30" i="1"/>
  <c r="CF30" i="1"/>
  <c r="CD30" i="1"/>
  <c r="CB30" i="1"/>
  <c r="BY30" i="1" s="1"/>
  <c r="BY29" i="1"/>
  <c r="BY28" i="1"/>
  <c r="BY27" i="1"/>
  <c r="BY26" i="1"/>
  <c r="BY25" i="1"/>
  <c r="BY24" i="1"/>
  <c r="BY23" i="1"/>
  <c r="BY22" i="1"/>
  <c r="BY21" i="1"/>
  <c r="BY20" i="1"/>
  <c r="CJ19" i="1"/>
  <c r="CI19" i="1"/>
  <c r="CH19" i="1"/>
  <c r="CG19" i="1"/>
  <c r="CF19" i="1"/>
  <c r="CE19" i="1"/>
  <c r="CD19" i="1"/>
  <c r="CC19" i="1"/>
  <c r="CB19" i="1"/>
  <c r="CA19" i="1"/>
  <c r="CJ18" i="1"/>
  <c r="CI18" i="1"/>
  <c r="CH18" i="1"/>
  <c r="CH54" i="1" s="1"/>
  <c r="CH60" i="1" s="1"/>
  <c r="CG18" i="1"/>
  <c r="CF18" i="1"/>
  <c r="CF54" i="1" s="1"/>
  <c r="CF60" i="1" s="1"/>
  <c r="CE18" i="1"/>
  <c r="CE54" i="1" s="1"/>
  <c r="CE60" i="1" s="1"/>
  <c r="CD18" i="1"/>
  <c r="CC18" i="1"/>
  <c r="CB18" i="1"/>
  <c r="CB54" i="1" s="1"/>
  <c r="CB60" i="1" s="1"/>
  <c r="CA18" i="1"/>
  <c r="CA54" i="1" s="1"/>
  <c r="CA60" i="1" s="1"/>
  <c r="BY17" i="1"/>
  <c r="CJ14" i="1"/>
  <c r="CF14" i="1"/>
  <c r="CB14" i="1"/>
  <c r="BZ14" i="1"/>
  <c r="BY13" i="1"/>
  <c r="BY12" i="1"/>
  <c r="BY11" i="1"/>
  <c r="CI14" i="1"/>
  <c r="CH14" i="1"/>
  <c r="CG14" i="1"/>
  <c r="CE14" i="1"/>
  <c r="CD14" i="1"/>
  <c r="CC14" i="1"/>
  <c r="CA14" i="1"/>
  <c r="BY4" i="1"/>
  <c r="CJ54" i="1" l="1"/>
  <c r="CJ60" i="1" s="1"/>
  <c r="CG54" i="1"/>
  <c r="CG60" i="1" s="1"/>
  <c r="CC54" i="1"/>
  <c r="CC60" i="1" s="1"/>
  <c r="CI54" i="1"/>
  <c r="CI60" i="1" s="1"/>
  <c r="CD54" i="1"/>
  <c r="CD60" i="1" s="1"/>
  <c r="BY19" i="1"/>
  <c r="BY10" i="1"/>
  <c r="BY14" i="1" s="1"/>
  <c r="BY18" i="1"/>
  <c r="BY54" i="1" l="1"/>
  <c r="BY60" i="1" s="1"/>
  <c r="BT35" i="1"/>
  <c r="BS35" i="1"/>
  <c r="BR35" i="1"/>
  <c r="BQ35" i="1"/>
  <c r="BP35" i="1"/>
  <c r="BO35" i="1"/>
  <c r="BN35" i="1"/>
  <c r="BM35" i="1"/>
  <c r="BV19" i="1"/>
  <c r="BU19" i="1"/>
  <c r="BT19" i="1"/>
  <c r="BS19" i="1"/>
  <c r="BR19" i="1"/>
  <c r="BQ19" i="1"/>
  <c r="BP19" i="1"/>
  <c r="BO19" i="1"/>
  <c r="BN19" i="1"/>
  <c r="BM19" i="1"/>
  <c r="BV18" i="1"/>
  <c r="BU18" i="1"/>
  <c r="BT18" i="1"/>
  <c r="BS18" i="1"/>
  <c r="BR18" i="1"/>
  <c r="BQ18" i="1"/>
  <c r="BP18" i="1"/>
  <c r="BO18" i="1"/>
  <c r="BN18" i="1"/>
  <c r="BM18" i="1"/>
  <c r="BM54" i="1" s="1"/>
  <c r="BV46" i="1"/>
  <c r="BU46" i="1"/>
  <c r="BT46" i="1"/>
  <c r="BS46" i="1"/>
  <c r="BR46" i="1"/>
  <c r="BQ46" i="1"/>
  <c r="BP46" i="1"/>
  <c r="BO46" i="1"/>
  <c r="BN46" i="1"/>
  <c r="BM46" i="1"/>
  <c r="BU12" i="1"/>
  <c r="BT12" i="1"/>
  <c r="BS12" i="1"/>
  <c r="BR12" i="1"/>
  <c r="BQ12" i="1"/>
  <c r="BP12" i="1"/>
  <c r="BO12" i="1"/>
  <c r="BN12" i="1"/>
  <c r="BM12" i="1"/>
  <c r="BV12" i="1"/>
  <c r="BU10" i="1"/>
  <c r="BT10" i="1"/>
  <c r="BS10" i="1"/>
  <c r="BR10" i="1"/>
  <c r="BQ10" i="1"/>
  <c r="BP10" i="1"/>
  <c r="BO10" i="1"/>
  <c r="BN10" i="1"/>
  <c r="BM10" i="1"/>
  <c r="BV10" i="1"/>
  <c r="BR14" i="1" l="1"/>
  <c r="BU14" i="1"/>
  <c r="BL60" i="1"/>
  <c r="BK58" i="1"/>
  <c r="BK57" i="1"/>
  <c r="BK56" i="1"/>
  <c r="BK55" i="1" s="1"/>
  <c r="BK53" i="1"/>
  <c r="BK52" i="1"/>
  <c r="BK51" i="1"/>
  <c r="BK50" i="1"/>
  <c r="BK49" i="1"/>
  <c r="BK48" i="1"/>
  <c r="BK46" i="1"/>
  <c r="BK45" i="1"/>
  <c r="BK44" i="1"/>
  <c r="BK43" i="1"/>
  <c r="BK42" i="1"/>
  <c r="BK41" i="1"/>
  <c r="BK40" i="1"/>
  <c r="BK39" i="1"/>
  <c r="BK38" i="1"/>
  <c r="BK37" i="1"/>
  <c r="BK36" i="1"/>
  <c r="BK35" i="1"/>
  <c r="BK34" i="1"/>
  <c r="BK33" i="1"/>
  <c r="BK32" i="1"/>
  <c r="BK31" i="1"/>
  <c r="BV30" i="1"/>
  <c r="BT30" i="1"/>
  <c r="BR30" i="1"/>
  <c r="BK30" i="1" s="1"/>
  <c r="BP30" i="1"/>
  <c r="BN30" i="1"/>
  <c r="BK29" i="1"/>
  <c r="BK28" i="1"/>
  <c r="BK27" i="1"/>
  <c r="BK26" i="1"/>
  <c r="BK25" i="1"/>
  <c r="BK24" i="1"/>
  <c r="BK23" i="1"/>
  <c r="BK22" i="1"/>
  <c r="BK21" i="1"/>
  <c r="BK20" i="1"/>
  <c r="BU54" i="1"/>
  <c r="BU60" i="1" s="1"/>
  <c r="BT54" i="1"/>
  <c r="BT60" i="1" s="1"/>
  <c r="BQ54" i="1"/>
  <c r="BQ60" i="1" s="1"/>
  <c r="BP54" i="1"/>
  <c r="BP60" i="1" s="1"/>
  <c r="BM60" i="1"/>
  <c r="BK19" i="1"/>
  <c r="BV54" i="1"/>
  <c r="BV60" i="1" s="1"/>
  <c r="BS54" i="1"/>
  <c r="BS60" i="1" s="1"/>
  <c r="BR54" i="1"/>
  <c r="BR60" i="1" s="1"/>
  <c r="BK18" i="1"/>
  <c r="BN54" i="1"/>
  <c r="BN60" i="1" s="1"/>
  <c r="BK17" i="1"/>
  <c r="BS14" i="1"/>
  <c r="BP14" i="1"/>
  <c r="BL14" i="1"/>
  <c r="BK13" i="1"/>
  <c r="BV14" i="1"/>
  <c r="BT14" i="1"/>
  <c r="BO14" i="1"/>
  <c r="BK11" i="1"/>
  <c r="BQ14" i="1"/>
  <c r="BK10" i="1"/>
  <c r="BM14" i="1"/>
  <c r="BK4" i="1"/>
  <c r="BK54" i="1" l="1"/>
  <c r="BK60" i="1" s="1"/>
  <c r="BK12" i="1"/>
  <c r="BK14" i="1" s="1"/>
  <c r="BN14" i="1"/>
  <c r="BO54" i="1"/>
  <c r="BO60" i="1" s="1"/>
  <c r="C12" i="1"/>
  <c r="C10" i="1"/>
  <c r="C11" i="1"/>
  <c r="BH35" i="1" l="1"/>
  <c r="BG35" i="1"/>
  <c r="BF35" i="1"/>
  <c r="BE35" i="1"/>
  <c r="BD35" i="1"/>
  <c r="BC35" i="1"/>
  <c r="BB35" i="1"/>
  <c r="BA35" i="1"/>
  <c r="AZ35" i="1"/>
  <c r="AY35" i="1"/>
  <c r="BH46" i="1"/>
  <c r="BG46" i="1"/>
  <c r="BF46" i="1"/>
  <c r="BE46" i="1"/>
  <c r="BD46" i="1"/>
  <c r="BC46" i="1"/>
  <c r="BB46" i="1"/>
  <c r="BA46" i="1"/>
  <c r="BA18" i="1"/>
  <c r="AZ18" i="1"/>
  <c r="AY18" i="1"/>
  <c r="BF12" i="1"/>
  <c r="BE12" i="1"/>
  <c r="BD12" i="1"/>
  <c r="BA12" i="1"/>
  <c r="AZ12" i="1"/>
  <c r="AY12" i="1"/>
  <c r="BH12" i="1"/>
  <c r="AZ46" i="1"/>
  <c r="BG12" i="1"/>
  <c r="BC12" i="1"/>
  <c r="AZ10" i="1"/>
  <c r="BG11" i="1"/>
  <c r="BF11" i="1"/>
  <c r="BE11" i="1"/>
  <c r="BD11" i="1"/>
  <c r="AZ11" i="1"/>
  <c r="AW10" i="1"/>
  <c r="BC10" i="1"/>
  <c r="AY10" i="1"/>
  <c r="AX60" i="1" l="1"/>
  <c r="AW58" i="1"/>
  <c r="AW57" i="1"/>
  <c r="AW56" i="1"/>
  <c r="AW55" i="1" s="1"/>
  <c r="AW53" i="1"/>
  <c r="AW52" i="1"/>
  <c r="AW51" i="1"/>
  <c r="AW50" i="1"/>
  <c r="AW49" i="1"/>
  <c r="AW48" i="1"/>
  <c r="AW46" i="1"/>
  <c r="AW45" i="1"/>
  <c r="AW44" i="1"/>
  <c r="AW43" i="1"/>
  <c r="AW42" i="1"/>
  <c r="AW41" i="1"/>
  <c r="AW40" i="1"/>
  <c r="AW39" i="1"/>
  <c r="AW38" i="1"/>
  <c r="AW37" i="1"/>
  <c r="AW36" i="1"/>
  <c r="AW35" i="1"/>
  <c r="AW34" i="1"/>
  <c r="AW33" i="1"/>
  <c r="AW32" i="1"/>
  <c r="AW31" i="1"/>
  <c r="BH30" i="1"/>
  <c r="BF30" i="1"/>
  <c r="BD30" i="1"/>
  <c r="BB30" i="1"/>
  <c r="AZ30" i="1"/>
  <c r="AW30" i="1"/>
  <c r="AW29" i="1"/>
  <c r="AW28" i="1"/>
  <c r="AW27" i="1"/>
  <c r="AW26" i="1"/>
  <c r="AW25" i="1"/>
  <c r="AW24" i="1"/>
  <c r="AW23" i="1"/>
  <c r="AW22" i="1"/>
  <c r="AW21" i="1"/>
  <c r="AW20" i="1"/>
  <c r="BH19" i="1"/>
  <c r="BG19" i="1"/>
  <c r="BF19" i="1"/>
  <c r="BE19" i="1"/>
  <c r="BD19" i="1"/>
  <c r="BC19" i="1"/>
  <c r="BB19" i="1"/>
  <c r="BA19" i="1"/>
  <c r="AZ19" i="1"/>
  <c r="F54" i="1" s="1"/>
  <c r="AY19" i="1"/>
  <c r="BH18" i="1"/>
  <c r="BG18" i="1"/>
  <c r="BF18" i="1"/>
  <c r="BE18" i="1"/>
  <c r="BD18" i="1"/>
  <c r="BC18" i="1"/>
  <c r="BB18" i="1"/>
  <c r="BA54" i="1"/>
  <c r="BA60" i="1" s="1"/>
  <c r="AW17" i="1"/>
  <c r="BH14" i="1"/>
  <c r="BG14" i="1"/>
  <c r="BF14" i="1"/>
  <c r="BE14" i="1"/>
  <c r="BD14" i="1"/>
  <c r="BC14" i="1"/>
  <c r="BB14" i="1"/>
  <c r="BA14" i="1"/>
  <c r="AX14" i="1"/>
  <c r="AW13" i="1"/>
  <c r="AW12" i="1"/>
  <c r="AZ14" i="1"/>
  <c r="AW11" i="1"/>
  <c r="AW14" i="1" s="1"/>
  <c r="AW4" i="1"/>
  <c r="BH54" i="1" l="1"/>
  <c r="BH60" i="1" s="1"/>
  <c r="N54" i="1"/>
  <c r="N60" i="1" s="1"/>
  <c r="BF54" i="1"/>
  <c r="BF60" i="1" s="1"/>
  <c r="BE54" i="1"/>
  <c r="BE60" i="1" s="1"/>
  <c r="K54" i="1"/>
  <c r="K60" i="1" s="1"/>
  <c r="BD54" i="1"/>
  <c r="BD60" i="1" s="1"/>
  <c r="J54" i="1"/>
  <c r="J60" i="1" s="1"/>
  <c r="AZ54" i="1"/>
  <c r="AZ60" i="1" s="1"/>
  <c r="AW19" i="1"/>
  <c r="BG54" i="1"/>
  <c r="BG60" i="1" s="1"/>
  <c r="BC54" i="1"/>
  <c r="BC60" i="1" s="1"/>
  <c r="BB54" i="1"/>
  <c r="BB60" i="1" s="1"/>
  <c r="AY54" i="1"/>
  <c r="AY60" i="1" s="1"/>
  <c r="AY14" i="1"/>
  <c r="AW18" i="1"/>
  <c r="AI54" i="1"/>
  <c r="AI18" i="1"/>
  <c r="AI17" i="1"/>
  <c r="AI14" i="1"/>
  <c r="AI13" i="1"/>
  <c r="AI12" i="1"/>
  <c r="AI11" i="1"/>
  <c r="AI10" i="1"/>
  <c r="D9" i="1"/>
  <c r="C57" i="1"/>
  <c r="C58" i="1"/>
  <c r="C56" i="1"/>
  <c r="C49" i="1"/>
  <c r="C50" i="1"/>
  <c r="C51" i="1"/>
  <c r="C52" i="1"/>
  <c r="C53" i="1"/>
  <c r="C4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17" i="1"/>
  <c r="C13" i="1"/>
  <c r="C14" i="1" s="1"/>
  <c r="M54" i="1"/>
  <c r="M60" i="1" s="1"/>
  <c r="L54" i="1"/>
  <c r="L60" i="1" s="1"/>
  <c r="I54" i="1"/>
  <c r="I60" i="1" s="1"/>
  <c r="H54" i="1"/>
  <c r="H60" i="1" s="1"/>
  <c r="G54" i="1"/>
  <c r="F60" i="1"/>
  <c r="Q54" i="1"/>
  <c r="N14" i="1"/>
  <c r="M14" i="1"/>
  <c r="K14" i="1"/>
  <c r="J14" i="1"/>
  <c r="I14" i="1"/>
  <c r="H14" i="1"/>
  <c r="G14" i="1"/>
  <c r="F14" i="1"/>
  <c r="E14" i="1"/>
  <c r="C18" i="1" l="1"/>
  <c r="C54" i="1" s="1"/>
  <c r="AW54" i="1"/>
  <c r="AW60" i="1" s="1"/>
  <c r="C59" i="1"/>
  <c r="G60" i="1"/>
  <c r="E60" i="1"/>
  <c r="AI58" i="1"/>
  <c r="AI57" i="1"/>
  <c r="AI56" i="1"/>
  <c r="AI55" i="1" s="1"/>
  <c r="AI53" i="1"/>
  <c r="AI52" i="1"/>
  <c r="AI51" i="1"/>
  <c r="AI50" i="1"/>
  <c r="AI49" i="1"/>
  <c r="AI48" i="1"/>
  <c r="AI46" i="1"/>
  <c r="AI45" i="1"/>
  <c r="AI44" i="1"/>
  <c r="AI43" i="1"/>
  <c r="AI42" i="1"/>
  <c r="AI41" i="1"/>
  <c r="AI40" i="1"/>
  <c r="AI39" i="1"/>
  <c r="AI38" i="1"/>
  <c r="AI37" i="1"/>
  <c r="AI36" i="1"/>
  <c r="AI34" i="1"/>
  <c r="AI33" i="1"/>
  <c r="AI31" i="1"/>
  <c r="AI29" i="1"/>
  <c r="AI28" i="1"/>
  <c r="AI27" i="1"/>
  <c r="AI26" i="1"/>
  <c r="AI25" i="1"/>
  <c r="AI24" i="1"/>
  <c r="AI23" i="1"/>
  <c r="AI21" i="1"/>
  <c r="AI20" i="1"/>
  <c r="C60" i="1" l="1"/>
  <c r="AT35" i="1"/>
  <c r="AS35" i="1"/>
  <c r="AR35" i="1"/>
  <c r="AQ35" i="1"/>
  <c r="AP35" i="1"/>
  <c r="AO35" i="1"/>
  <c r="AN35" i="1"/>
  <c r="AM35" i="1"/>
  <c r="AL35" i="1"/>
  <c r="AK35" i="1"/>
  <c r="AI35" i="1" s="1"/>
  <c r="AI4" i="1"/>
  <c r="AL32" i="1"/>
  <c r="AK32" i="1"/>
  <c r="AI32" i="1" s="1"/>
  <c r="AL22" i="1"/>
  <c r="AI22" i="1" l="1"/>
  <c r="AL18" i="1"/>
  <c r="AK18" i="1"/>
  <c r="AJ14" i="1"/>
  <c r="AL10" i="1" l="1"/>
  <c r="AL12" i="1"/>
  <c r="AK12" i="1"/>
  <c r="AK10" i="1"/>
  <c r="AL11" i="1" l="1"/>
  <c r="AL14" i="1" s="1"/>
  <c r="AK11" i="1"/>
  <c r="AT30" i="1"/>
  <c r="AT19" i="1"/>
  <c r="AS19" i="1"/>
  <c r="AT18" i="1"/>
  <c r="AS18" i="1"/>
  <c r="AT14" i="1"/>
  <c r="AS14" i="1"/>
  <c r="AR30" i="1"/>
  <c r="AR19" i="1"/>
  <c r="AQ19" i="1"/>
  <c r="AR18" i="1"/>
  <c r="AQ18" i="1"/>
  <c r="AQ54" i="1" s="1"/>
  <c r="AQ60" i="1" s="1"/>
  <c r="AR14" i="1"/>
  <c r="AQ14" i="1"/>
  <c r="AP30" i="1"/>
  <c r="AP19" i="1"/>
  <c r="AO19" i="1"/>
  <c r="AO54" i="1" s="1"/>
  <c r="AO60" i="1" s="1"/>
  <c r="AP18" i="1"/>
  <c r="AO18" i="1"/>
  <c r="AP14" i="1"/>
  <c r="AO14" i="1"/>
  <c r="AN30" i="1"/>
  <c r="AN19" i="1"/>
  <c r="AM19" i="1"/>
  <c r="AN18" i="1"/>
  <c r="AM18" i="1"/>
  <c r="AN14" i="1"/>
  <c r="AM14" i="1"/>
  <c r="AL30" i="1"/>
  <c r="AI30" i="1" s="1"/>
  <c r="AJ60" i="1"/>
  <c r="AL19" i="1"/>
  <c r="AK19" i="1"/>
  <c r="AI19" i="1" s="1"/>
  <c r="AL54" i="1"/>
  <c r="AL60" i="1" s="1"/>
  <c r="AM54" i="1" l="1"/>
  <c r="AM60" i="1" s="1"/>
  <c r="AI60" i="1"/>
  <c r="AN54" i="1"/>
  <c r="AN60" i="1" s="1"/>
  <c r="AP54" i="1"/>
  <c r="AP60" i="1" s="1"/>
  <c r="AK14" i="1"/>
  <c r="AT54" i="1"/>
  <c r="AT60" i="1" s="1"/>
  <c r="AS54" i="1"/>
  <c r="AS60" i="1" s="1"/>
  <c r="AR54" i="1"/>
  <c r="AR60" i="1" s="1"/>
  <c r="AK54" i="1"/>
  <c r="AK60" i="1" s="1"/>
  <c r="AF32" i="1"/>
  <c r="AE32" i="1"/>
  <c r="AC21" i="1"/>
  <c r="AE12" i="1"/>
  <c r="AC12" i="1" l="1"/>
  <c r="AF10" i="1"/>
  <c r="AE10" i="1"/>
  <c r="AC10" i="1" s="1"/>
  <c r="AE11" i="1" l="1"/>
  <c r="AF11" i="1"/>
  <c r="AF14" i="1" s="1"/>
  <c r="AE14" i="1" l="1"/>
  <c r="AC14" i="1" s="1"/>
  <c r="AC11" i="1"/>
  <c r="AC58" i="1"/>
  <c r="AC57" i="1"/>
  <c r="AC56" i="1"/>
  <c r="AC55" i="1"/>
  <c r="AC53" i="1"/>
  <c r="AC52" i="1"/>
  <c r="AC51" i="1"/>
  <c r="AC50" i="1"/>
  <c r="AC49" i="1"/>
  <c r="AC48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D31" i="1"/>
  <c r="AC31" i="1"/>
  <c r="AF30" i="1"/>
  <c r="AC30" i="1" s="1"/>
  <c r="AD30" i="1"/>
  <c r="AD60" i="1" s="1"/>
  <c r="AC29" i="1"/>
  <c r="AC28" i="1"/>
  <c r="AC27" i="1"/>
  <c r="AC26" i="1"/>
  <c r="AC25" i="1"/>
  <c r="AC24" i="1"/>
  <c r="AC23" i="1"/>
  <c r="AC22" i="1"/>
  <c r="AC20" i="1"/>
  <c r="AF19" i="1"/>
  <c r="AE19" i="1"/>
  <c r="AF18" i="1"/>
  <c r="AF54" i="1" s="1"/>
  <c r="AF60" i="1" s="1"/>
  <c r="AE18" i="1"/>
  <c r="AC17" i="1"/>
  <c r="AD14" i="1"/>
  <c r="AC4" i="1"/>
  <c r="AC19" i="1" l="1"/>
  <c r="AC54" i="1"/>
  <c r="AC60" i="1" s="1"/>
  <c r="AE54" i="1"/>
  <c r="AE60" i="1" s="1"/>
  <c r="S18" i="1"/>
  <c r="Z35" i="1" l="1"/>
  <c r="Y35" i="1"/>
  <c r="W51" i="1"/>
  <c r="Z32" i="1"/>
  <c r="Y32" i="1"/>
  <c r="Z18" i="1"/>
  <c r="Y18" i="1"/>
  <c r="W12" i="1"/>
  <c r="Z12" i="1"/>
  <c r="Z10" i="1"/>
  <c r="Y10" i="1"/>
  <c r="W10" i="1" s="1"/>
  <c r="Y12" i="1"/>
  <c r="Z11" i="1"/>
  <c r="Y11" i="1"/>
  <c r="W11" i="1" s="1"/>
  <c r="W58" i="1"/>
  <c r="W57" i="1"/>
  <c r="W56" i="1"/>
  <c r="W55" i="1"/>
  <c r="W52" i="1"/>
  <c r="T35" i="1"/>
  <c r="S35" i="1"/>
  <c r="Q58" i="1"/>
  <c r="Q57" i="1"/>
  <c r="Q56" i="1"/>
  <c r="Q55" i="1"/>
  <c r="Q52" i="1" l="1"/>
  <c r="W53" i="1"/>
  <c r="W50" i="1"/>
  <c r="W49" i="1"/>
  <c r="W48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X31" i="1"/>
  <c r="W31" i="1"/>
  <c r="Z30" i="1"/>
  <c r="W30" i="1" s="1"/>
  <c r="X30" i="1"/>
  <c r="X60" i="1" s="1"/>
  <c r="W29" i="1"/>
  <c r="W28" i="1"/>
  <c r="W27" i="1"/>
  <c r="W26" i="1"/>
  <c r="W25" i="1"/>
  <c r="W24" i="1"/>
  <c r="W23" i="1"/>
  <c r="W22" i="1"/>
  <c r="W21" i="1"/>
  <c r="W20" i="1"/>
  <c r="Z19" i="1"/>
  <c r="Z54" i="1" s="1"/>
  <c r="Y19" i="1"/>
  <c r="Y54" i="1" s="1"/>
  <c r="W17" i="1"/>
  <c r="X14" i="1"/>
  <c r="W4" i="1"/>
  <c r="W19" i="1" l="1"/>
  <c r="W18" i="1"/>
  <c r="W54" i="1" s="1"/>
  <c r="W60" i="1" s="1"/>
  <c r="Z14" i="1"/>
  <c r="Y14" i="1"/>
  <c r="W14" i="1" s="1"/>
  <c r="Q50" i="1"/>
  <c r="Q49" i="1"/>
  <c r="Q48" i="1"/>
  <c r="Q45" i="1"/>
  <c r="Q44" i="1"/>
  <c r="Q43" i="1"/>
  <c r="Q42" i="1"/>
  <c r="Q40" i="1"/>
  <c r="Q39" i="1"/>
  <c r="Q38" i="1"/>
  <c r="Q37" i="1"/>
  <c r="Q36" i="1"/>
  <c r="Q33" i="1"/>
  <c r="T32" i="1"/>
  <c r="S32" i="1"/>
  <c r="Q31" i="1"/>
  <c r="Q29" i="1"/>
  <c r="Q26" i="1"/>
  <c r="Q27" i="1"/>
  <c r="Q25" i="1"/>
  <c r="Q24" i="1"/>
  <c r="Q23" i="1"/>
  <c r="Q22" i="1"/>
  <c r="Q21" i="1"/>
  <c r="T18" i="1"/>
  <c r="T12" i="1"/>
  <c r="S12" i="1"/>
  <c r="S10" i="1"/>
  <c r="T10" i="1"/>
  <c r="Z60" i="1" l="1"/>
  <c r="Y60" i="1"/>
  <c r="Q12" i="1"/>
  <c r="T11" i="1"/>
  <c r="S11" i="1"/>
  <c r="S14" i="1" l="1"/>
  <c r="T14" i="1"/>
  <c r="Q14" i="1"/>
  <c r="T19" i="1"/>
  <c r="S19" i="1"/>
  <c r="S54" i="1" l="1"/>
  <c r="Q10" i="1"/>
  <c r="C7" i="1" l="1"/>
  <c r="Q53" i="1" l="1"/>
  <c r="Q51" i="1"/>
  <c r="Q46" i="1"/>
  <c r="Q41" i="1"/>
  <c r="Q35" i="1"/>
  <c r="Q34" i="1"/>
  <c r="Q32" i="1"/>
  <c r="R31" i="1"/>
  <c r="T30" i="1"/>
  <c r="R30" i="1"/>
  <c r="Q28" i="1"/>
  <c r="Q20" i="1"/>
  <c r="Q17" i="1"/>
  <c r="R14" i="1"/>
  <c r="Q11" i="1"/>
  <c r="Q4" i="1"/>
  <c r="Q30" i="1" l="1"/>
  <c r="R60" i="1"/>
  <c r="T54" i="1"/>
  <c r="S60" i="1"/>
  <c r="T60" i="1" l="1"/>
  <c r="Q60" i="1"/>
</calcChain>
</file>

<file path=xl/sharedStrings.xml><?xml version="1.0" encoding="utf-8"?>
<sst xmlns="http://schemas.openxmlformats.org/spreadsheetml/2006/main" count="894" uniqueCount="107">
  <si>
    <t>(рублей)</t>
  </si>
  <si>
    <t>Наименование статей</t>
  </si>
  <si>
    <t>ВСЕГО</t>
  </si>
  <si>
    <t>общехозяйственные расходы</t>
  </si>
  <si>
    <t>Общая площадь</t>
  </si>
  <si>
    <t>1. Членские взносы, прочие поступления</t>
  </si>
  <si>
    <r>
      <t>стоимость содержания 1м</t>
    </r>
    <r>
      <rPr>
        <i/>
        <vertAlign val="superscript"/>
        <sz val="9"/>
        <rFont val="Times New Roman"/>
        <family val="1"/>
        <charset val="204"/>
      </rPr>
      <t>2</t>
    </r>
  </si>
  <si>
    <t>Итого</t>
  </si>
  <si>
    <t>1</t>
  </si>
  <si>
    <t>Обеспечение эксплуатации многоквартирного дома</t>
  </si>
  <si>
    <t>2</t>
  </si>
  <si>
    <t>Арендная плата и техобслуж.</t>
  </si>
  <si>
    <t>Арендная плата и техобслуживание</t>
  </si>
  <si>
    <t>3</t>
  </si>
  <si>
    <t>Прочие</t>
  </si>
  <si>
    <t>4</t>
  </si>
  <si>
    <t>Частичный капитальный ремонт</t>
  </si>
  <si>
    <t>ВСЕГО ПОСТУПЛЕНИЙ</t>
  </si>
  <si>
    <t>2. Расходы</t>
  </si>
  <si>
    <t>Расходы на содержание</t>
  </si>
  <si>
    <t>Заработная плата работников (с НДФЛ)</t>
  </si>
  <si>
    <t>ПФР РФ</t>
  </si>
  <si>
    <t>ФСС</t>
  </si>
  <si>
    <t>Ед. налог по УСН</t>
  </si>
  <si>
    <t>Удержано ЕРКЦ "Домостроитель"</t>
  </si>
  <si>
    <t>Услуги связи</t>
  </si>
  <si>
    <t>Юридические услуги</t>
  </si>
  <si>
    <t>Судебные издержки</t>
  </si>
  <si>
    <t>Услуги банка</t>
  </si>
  <si>
    <t>Оплата ком. платежей за офис</t>
  </si>
  <si>
    <t>Расходы на офис</t>
  </si>
  <si>
    <t>Материалы</t>
  </si>
  <si>
    <t>Подготовка и обучение кадров</t>
  </si>
  <si>
    <t>Доставка песка и земли</t>
  </si>
  <si>
    <t>Охрана труда (противопож.без-ть, м/д ср.,спецодежда)</t>
  </si>
  <si>
    <t>Охрана труда (противопожар.безопасность, м/д ср.,спецодежда)</t>
  </si>
  <si>
    <t>Страхование лифтов</t>
  </si>
  <si>
    <t>Устан. нов.оборуд. дет.площ.</t>
  </si>
  <si>
    <t>Непредвиденные расходы</t>
  </si>
  <si>
    <t xml:space="preserve">Непредвиденные расходы </t>
  </si>
  <si>
    <t>Устройство ограждения</t>
  </si>
  <si>
    <t>Замена запорной арматуры</t>
  </si>
  <si>
    <t>Восстан. асфальтового покрытия</t>
  </si>
  <si>
    <t>Аварийное обслуживание</t>
  </si>
  <si>
    <t>Косметический ремонт подъездов</t>
  </si>
  <si>
    <t>Прочие расходы</t>
  </si>
  <si>
    <t>Расходы на капитальный ремонт</t>
  </si>
  <si>
    <t>Ремонт кровли</t>
  </si>
  <si>
    <t>Замена т/проводов ГВС</t>
  </si>
  <si>
    <t>Замена узла учета ГВС</t>
  </si>
  <si>
    <t>ВСЕГО РАСХОДОВ</t>
  </si>
  <si>
    <t>Содержание и ремонт газового оборудования и вентканалов</t>
  </si>
  <si>
    <t>№ п/п</t>
  </si>
  <si>
    <t>Устройство ограждения, шлагбаума</t>
  </si>
  <si>
    <t>Задолж. населения на 01.01.13г.</t>
  </si>
  <si>
    <t>Остаток средств на 01.01.13г в банке</t>
  </si>
  <si>
    <t>Остаток средств на 01.01.13г на ЕРКЦ "Домостроитель"</t>
  </si>
  <si>
    <t>Нарастающим итогом на 2013 год</t>
  </si>
  <si>
    <t>Январь 2013 год</t>
  </si>
  <si>
    <t>Тех. обслуж. приборов учета, замена, опломбировка</t>
  </si>
  <si>
    <t xml:space="preserve">Финансовый факт ООО УК "Согласие"    </t>
  </si>
  <si>
    <t>Пеше-Стрелецкая, д.66</t>
  </si>
  <si>
    <t>Пеше-Стрелецкая, д.77 (общежитие)</t>
  </si>
  <si>
    <t>Пеше-Стрелецкая, 66</t>
  </si>
  <si>
    <t>Пеше-Стрелецкая, 77 (общежитие)</t>
  </si>
  <si>
    <t>Лифт</t>
  </si>
  <si>
    <t>Вывоз ТБО</t>
  </si>
  <si>
    <t>Вывоз КГО</t>
  </si>
  <si>
    <t>Отопление и г.в.с.</t>
  </si>
  <si>
    <t>х.в.с., х.в. для г.в., водоотведение</t>
  </si>
  <si>
    <t>Электроэнергия</t>
  </si>
  <si>
    <t>Тех. обслуж. приборов учета, поверка, замена, опломбировка</t>
  </si>
  <si>
    <t>Февраль 2013 год</t>
  </si>
  <si>
    <t>Охрана труда (противопожар.безопасность, м/д ср.,спецодежда, инвентарь)</t>
  </si>
  <si>
    <t>Консультативные услуги</t>
  </si>
  <si>
    <t>Март 2013 год</t>
  </si>
  <si>
    <t>Апрель 2013 год</t>
  </si>
  <si>
    <t>Пеше-Стрелецкая, 79а</t>
  </si>
  <si>
    <t>Пеше-Стрелецкая, 83</t>
  </si>
  <si>
    <t>Пеше-Стрелецкая, 111</t>
  </si>
  <si>
    <t>Пирогова, 35</t>
  </si>
  <si>
    <t>Пирогова, 37</t>
  </si>
  <si>
    <t>Пирогова, 39</t>
  </si>
  <si>
    <t>Пирогова, 41</t>
  </si>
  <si>
    <t>Изобретателей, 73</t>
  </si>
  <si>
    <t>Замена камер наружного наблюдения</t>
  </si>
  <si>
    <t>Пеше-Стрелецкая, д.83</t>
  </si>
  <si>
    <t>Пеше-Стрелецкая, д.79а</t>
  </si>
  <si>
    <t>Пеше-Стрелецкая, д.111</t>
  </si>
  <si>
    <t>Пирогова, д.35</t>
  </si>
  <si>
    <t>Пирогова, д.37</t>
  </si>
  <si>
    <t>Пирогова, д.39</t>
  </si>
  <si>
    <t>Пирогова, д.41</t>
  </si>
  <si>
    <t>Изобретателей, д.73</t>
  </si>
  <si>
    <t>Май 2013 год</t>
  </si>
  <si>
    <t>Июнь 2013 год</t>
  </si>
  <si>
    <t>Июль 2013 год</t>
  </si>
  <si>
    <t>Август 2013 год</t>
  </si>
  <si>
    <t>Заделка межпанельных швов</t>
  </si>
  <si>
    <t>Сентябрь 2013 год</t>
  </si>
  <si>
    <t>Октябрь 2013 год</t>
  </si>
  <si>
    <t>Обрезка деревьев</t>
  </si>
  <si>
    <t>Ноябрь 2013 год</t>
  </si>
  <si>
    <r>
      <t xml:space="preserve">Электроэнергия  </t>
    </r>
    <r>
      <rPr>
        <b/>
        <sz val="9"/>
        <rFont val="Times New Roman"/>
        <family val="1"/>
        <charset val="204"/>
      </rPr>
      <t>суд</t>
    </r>
  </si>
  <si>
    <t>Страхование лифтов, оценка состояния</t>
  </si>
  <si>
    <t>Установка металлической двери</t>
  </si>
  <si>
    <t>Декабрь 2013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</si>
</sst>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Times New Roman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i/>
      <vertAlign val="superscript"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rgb="FF0070C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Border="1" applyAlignment="1">
      <alignment horizont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3" fontId="4" fillId="4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Border="1" applyAlignment="1">
      <alignment horizontal="left" wrapText="1"/>
    </xf>
    <xf numFmtId="1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3" fontId="3" fillId="3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0" fontId="3" fillId="5" borderId="1" xfId="0" applyFont="1" applyFill="1" applyBorder="1"/>
    <xf numFmtId="0" fontId="3" fillId="0" borderId="1" xfId="0" applyFont="1" applyBorder="1"/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3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/>
    <xf numFmtId="3" fontId="3" fillId="0" borderId="1" xfId="0" applyNumberFormat="1" applyFont="1" applyBorder="1" applyAlignment="1">
      <alignment horizontal="center"/>
    </xf>
    <xf numFmtId="0" fontId="4" fillId="0" borderId="0" xfId="0" applyFont="1" applyBorder="1"/>
    <xf numFmtId="3" fontId="3" fillId="0" borderId="1" xfId="0" applyNumberFormat="1" applyFont="1" applyBorder="1" applyAlignment="1">
      <alignment horizontal="center" wrapText="1"/>
    </xf>
    <xf numFmtId="3" fontId="3" fillId="0" borderId="0" xfId="0" applyNumberFormat="1" applyFont="1"/>
    <xf numFmtId="3" fontId="3" fillId="6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/>
    <xf numFmtId="3" fontId="2" fillId="0" borderId="0" xfId="0" applyNumberFormat="1" applyFont="1"/>
    <xf numFmtId="3" fontId="3" fillId="0" borderId="1" xfId="0" applyNumberFormat="1" applyFont="1" applyBorder="1" applyAlignment="1">
      <alignment horizontal="left" wrapText="1"/>
    </xf>
    <xf numFmtId="0" fontId="3" fillId="0" borderId="1" xfId="0" applyFont="1" applyFill="1" applyBorder="1"/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0" fontId="1" fillId="0" borderId="0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S66"/>
  <sheetViews>
    <sheetView tabSelected="1" topLeftCell="A43" zoomScaleNormal="100" workbookViewId="0">
      <selection activeCell="C62" sqref="C62"/>
    </sheetView>
  </sheetViews>
  <sheetFormatPr defaultRowHeight="12.75" x14ac:dyDescent="0.2"/>
  <cols>
    <col min="1" max="1" width="3.875" style="2" customWidth="1"/>
    <col min="2" max="2" width="26.5" style="2" customWidth="1"/>
    <col min="3" max="3" width="9.375" style="2" customWidth="1"/>
    <col min="4" max="4" width="10.75" style="2" customWidth="1"/>
    <col min="5" max="5" width="11.5" style="2" customWidth="1"/>
    <col min="6" max="6" width="12.375" style="2" customWidth="1"/>
    <col min="7" max="7" width="12.125" style="2" customWidth="1"/>
    <col min="8" max="8" width="12.625" style="2" customWidth="1"/>
    <col min="9" max="9" width="12.375" style="2" customWidth="1"/>
    <col min="10" max="10" width="8.375" style="2" customWidth="1"/>
    <col min="11" max="11" width="8.25" style="2" customWidth="1"/>
    <col min="12" max="12" width="8.125" style="2" customWidth="1"/>
    <col min="13" max="13" width="8.25" style="2" customWidth="1"/>
    <col min="14" max="14" width="10.5" style="2" customWidth="1"/>
    <col min="15" max="15" width="3.875" style="2" customWidth="1"/>
    <col min="16" max="16" width="28.625" style="2" customWidth="1"/>
    <col min="17" max="17" width="11.625" style="2" customWidth="1"/>
    <col min="18" max="18" width="11.25" style="2" customWidth="1"/>
    <col min="19" max="20" width="16.625" style="2" customWidth="1"/>
    <col min="21" max="21" width="3.875" style="2" customWidth="1"/>
    <col min="22" max="22" width="28.625" style="2" customWidth="1"/>
    <col min="23" max="23" width="11.625" style="2" customWidth="1"/>
    <col min="24" max="24" width="11.25" style="2" customWidth="1"/>
    <col min="25" max="26" width="16.625" style="2" customWidth="1"/>
    <col min="27" max="27" width="3.875" style="2" customWidth="1"/>
    <col min="28" max="28" width="28.625" style="2" customWidth="1"/>
    <col min="29" max="29" width="11.625" style="2" customWidth="1"/>
    <col min="30" max="30" width="11.25" style="2" customWidth="1"/>
    <col min="31" max="32" width="16.625" style="2" customWidth="1"/>
    <col min="33" max="33" width="3.375" style="2" customWidth="1"/>
    <col min="34" max="34" width="26" style="2" customWidth="1"/>
    <col min="35" max="35" width="9.125" style="2" customWidth="1"/>
    <col min="36" max="36" width="10.75" style="2" customWidth="1"/>
    <col min="37" max="37" width="10.25" style="2" customWidth="1"/>
    <col min="38" max="38" width="12.375" style="2" customWidth="1"/>
    <col min="39" max="39" width="11.125" style="2" customWidth="1"/>
    <col min="40" max="40" width="10.375" style="2" customWidth="1"/>
    <col min="41" max="41" width="11" style="2" customWidth="1"/>
    <col min="42" max="42" width="7.375" style="2" customWidth="1"/>
    <col min="43" max="43" width="7.75" style="2" customWidth="1"/>
    <col min="44" max="44" width="8" style="2" customWidth="1"/>
    <col min="45" max="45" width="7.75" style="2" customWidth="1"/>
    <col min="46" max="46" width="10.375" style="2" customWidth="1"/>
    <col min="47" max="47" width="3.375" style="2" customWidth="1"/>
    <col min="48" max="48" width="26" style="2" customWidth="1"/>
    <col min="49" max="49" width="9.125" style="2" customWidth="1"/>
    <col min="50" max="50" width="10.75" style="2" customWidth="1"/>
    <col min="51" max="51" width="10.25" style="2" customWidth="1"/>
    <col min="52" max="52" width="12.375" style="2" customWidth="1"/>
    <col min="53" max="53" width="11.125" style="2" customWidth="1"/>
    <col min="54" max="54" width="10.375" style="2" customWidth="1"/>
    <col min="55" max="55" width="11" style="2" customWidth="1"/>
    <col min="56" max="56" width="7.375" style="2" customWidth="1"/>
    <col min="57" max="57" width="7.75" style="2" customWidth="1"/>
    <col min="58" max="58" width="8" style="2" customWidth="1"/>
    <col min="59" max="59" width="7.75" style="2" customWidth="1"/>
    <col min="60" max="60" width="10.375" style="2" customWidth="1"/>
    <col min="61" max="61" width="3.375" style="2" customWidth="1"/>
    <col min="62" max="62" width="26" style="2" customWidth="1"/>
    <col min="63" max="63" width="9.125" style="2" customWidth="1"/>
    <col min="64" max="64" width="10.75" style="2" customWidth="1"/>
    <col min="65" max="65" width="10.25" style="2" customWidth="1"/>
    <col min="66" max="66" width="12.375" style="2" customWidth="1"/>
    <col min="67" max="67" width="11.125" style="2" customWidth="1"/>
    <col min="68" max="68" width="10.375" style="2" customWidth="1"/>
    <col min="69" max="69" width="11" style="2" customWidth="1"/>
    <col min="70" max="70" width="7.375" style="2" customWidth="1"/>
    <col min="71" max="71" width="7.75" style="2" customWidth="1"/>
    <col min="72" max="72" width="8" style="2" customWidth="1"/>
    <col min="73" max="73" width="7.75" style="2" customWidth="1"/>
    <col min="74" max="74" width="10.375" style="2" customWidth="1"/>
    <col min="75" max="75" width="3.375" style="2" customWidth="1"/>
    <col min="76" max="76" width="26" style="2" customWidth="1"/>
    <col min="77" max="77" width="9.125" style="2" customWidth="1"/>
    <col min="78" max="78" width="10.75" style="2" customWidth="1"/>
    <col min="79" max="79" width="10.25" style="2" customWidth="1"/>
    <col min="80" max="80" width="12.375" style="2" customWidth="1"/>
    <col min="81" max="81" width="11.125" style="2" customWidth="1"/>
    <col min="82" max="82" width="10.375" style="2" customWidth="1"/>
    <col min="83" max="83" width="11" style="2" customWidth="1"/>
    <col min="84" max="84" width="7.375" style="2" customWidth="1"/>
    <col min="85" max="85" width="7.75" style="2" customWidth="1"/>
    <col min="86" max="86" width="8" style="2" customWidth="1"/>
    <col min="87" max="87" width="7.75" style="2" customWidth="1"/>
    <col min="88" max="88" width="10.375" style="2" customWidth="1"/>
    <col min="89" max="89" width="3.375" style="2" customWidth="1"/>
    <col min="90" max="90" width="26" style="2" customWidth="1"/>
    <col min="91" max="91" width="9.125" style="2" customWidth="1"/>
    <col min="92" max="92" width="10.75" style="2" customWidth="1"/>
    <col min="93" max="93" width="10.25" style="2" customWidth="1"/>
    <col min="94" max="94" width="12.375" style="2" customWidth="1"/>
    <col min="95" max="95" width="11.125" style="2" customWidth="1"/>
    <col min="96" max="96" width="10.375" style="2" customWidth="1"/>
    <col min="97" max="97" width="11" style="2" customWidth="1"/>
    <col min="98" max="98" width="7.375" style="2" customWidth="1"/>
    <col min="99" max="99" width="7.75" style="2" customWidth="1"/>
    <col min="100" max="100" width="8" style="2" customWidth="1"/>
    <col min="101" max="101" width="7.75" style="2" customWidth="1"/>
    <col min="102" max="102" width="10.375" style="2" customWidth="1"/>
    <col min="103" max="103" width="3.375" style="2" customWidth="1"/>
    <col min="104" max="104" width="26" style="2" customWidth="1"/>
    <col min="105" max="105" width="9.125" style="2" customWidth="1"/>
    <col min="106" max="106" width="10.75" style="2" customWidth="1"/>
    <col min="107" max="107" width="10.25" style="2" customWidth="1"/>
    <col min="108" max="108" width="12.375" style="2" customWidth="1"/>
    <col min="109" max="109" width="11.125" style="2" customWidth="1"/>
    <col min="110" max="110" width="10.375" style="2" customWidth="1"/>
    <col min="111" max="111" width="11" style="2" customWidth="1"/>
    <col min="112" max="112" width="7.375" style="2" customWidth="1"/>
    <col min="113" max="113" width="7.75" style="2" customWidth="1"/>
    <col min="114" max="114" width="8" style="2" customWidth="1"/>
    <col min="115" max="115" width="7.75" style="2" customWidth="1"/>
    <col min="116" max="116" width="10.375" style="2" customWidth="1"/>
    <col min="117" max="117" width="3.375" style="2" customWidth="1"/>
    <col min="118" max="118" width="26" style="2" customWidth="1"/>
    <col min="119" max="119" width="9.125" style="2" customWidth="1"/>
    <col min="120" max="120" width="10.75" style="2" customWidth="1"/>
    <col min="121" max="121" width="10.25" style="2" customWidth="1"/>
    <col min="122" max="122" width="12.375" style="2" customWidth="1"/>
    <col min="123" max="123" width="11.125" style="2" customWidth="1"/>
    <col min="124" max="124" width="10.375" style="2" customWidth="1"/>
    <col min="125" max="125" width="11" style="2" customWidth="1"/>
    <col min="126" max="126" width="7.375" style="2" customWidth="1"/>
    <col min="127" max="127" width="7.75" style="2" customWidth="1"/>
    <col min="128" max="128" width="8" style="2" customWidth="1"/>
    <col min="129" max="129" width="7.75" style="2" customWidth="1"/>
    <col min="130" max="130" width="10.375" style="2" customWidth="1"/>
    <col min="131" max="131" width="3.375" style="2" customWidth="1"/>
    <col min="132" max="132" width="26" style="2" customWidth="1"/>
    <col min="133" max="133" width="9.125" style="2" customWidth="1"/>
    <col min="134" max="134" width="10.75" style="2" customWidth="1"/>
    <col min="135" max="135" width="10.25" style="2" customWidth="1"/>
    <col min="136" max="136" width="12.375" style="2" customWidth="1"/>
    <col min="137" max="137" width="11.125" style="2" customWidth="1"/>
    <col min="138" max="138" width="10.375" style="2" customWidth="1"/>
    <col min="139" max="139" width="11" style="2" customWidth="1"/>
    <col min="140" max="140" width="7.375" style="2" customWidth="1"/>
    <col min="141" max="141" width="7.75" style="2" customWidth="1"/>
    <col min="142" max="142" width="8" style="2" customWidth="1"/>
    <col min="143" max="143" width="7.75" style="2" customWidth="1"/>
    <col min="144" max="144" width="10.375" style="2" customWidth="1"/>
    <col min="145" max="145" width="3.375" style="2" customWidth="1"/>
    <col min="146" max="146" width="26" style="2" customWidth="1"/>
    <col min="147" max="147" width="9.125" style="2" customWidth="1"/>
    <col min="148" max="148" width="10.75" style="2" customWidth="1"/>
    <col min="149" max="149" width="10.25" style="2" customWidth="1"/>
    <col min="150" max="150" width="12.375" style="2" customWidth="1"/>
    <col min="151" max="151" width="11.125" style="2" customWidth="1"/>
    <col min="152" max="152" width="10.375" style="2" customWidth="1"/>
    <col min="153" max="153" width="11" style="2" customWidth="1"/>
    <col min="154" max="154" width="7.375" style="2" customWidth="1"/>
    <col min="155" max="155" width="7.75" style="2" customWidth="1"/>
    <col min="156" max="156" width="8" style="2" customWidth="1"/>
    <col min="157" max="157" width="7.75" style="2" customWidth="1"/>
    <col min="158" max="158" width="10.375" style="2" customWidth="1"/>
    <col min="159" max="16384" width="9" style="2"/>
  </cols>
  <sheetData>
    <row r="1" spans="1:158" ht="19.5" customHeight="1" x14ac:dyDescent="0.3">
      <c r="A1" s="74" t="s">
        <v>60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1"/>
      <c r="P1" s="1"/>
      <c r="U1" s="51"/>
      <c r="V1" s="51"/>
      <c r="AA1" s="52"/>
      <c r="AB1" s="52"/>
      <c r="AG1" s="58"/>
      <c r="AH1" s="53"/>
      <c r="AU1" s="58"/>
      <c r="AV1" s="58"/>
      <c r="BI1" s="61"/>
      <c r="BJ1" s="61"/>
      <c r="BW1" s="62"/>
      <c r="BX1" s="62"/>
      <c r="CK1" s="63"/>
      <c r="CL1" s="63"/>
      <c r="CY1" s="66"/>
      <c r="CZ1" s="66"/>
      <c r="DM1" s="68"/>
      <c r="DN1" s="68"/>
      <c r="EA1" s="69"/>
      <c r="EB1" s="69"/>
      <c r="EO1" s="71"/>
      <c r="EP1" s="71"/>
    </row>
    <row r="2" spans="1:158" s="4" customFormat="1" ht="13.5" customHeight="1" x14ac:dyDescent="0.2">
      <c r="A2" s="3"/>
      <c r="B2" s="3" t="s">
        <v>0</v>
      </c>
      <c r="C2" s="75" t="s">
        <v>57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77"/>
      <c r="O2" s="3"/>
      <c r="P2" s="3" t="s">
        <v>0</v>
      </c>
      <c r="Q2" s="72" t="s">
        <v>58</v>
      </c>
      <c r="R2" s="72"/>
      <c r="S2" s="72"/>
      <c r="T2" s="72"/>
      <c r="U2" s="3"/>
      <c r="V2" s="3" t="s">
        <v>0</v>
      </c>
      <c r="W2" s="72" t="s">
        <v>72</v>
      </c>
      <c r="X2" s="72"/>
      <c r="Y2" s="72"/>
      <c r="Z2" s="72"/>
      <c r="AA2" s="3"/>
      <c r="AB2" s="3" t="s">
        <v>0</v>
      </c>
      <c r="AC2" s="72" t="s">
        <v>75</v>
      </c>
      <c r="AD2" s="72"/>
      <c r="AE2" s="72"/>
      <c r="AF2" s="72"/>
      <c r="AG2" s="3"/>
      <c r="AH2" s="3" t="s">
        <v>0</v>
      </c>
      <c r="AI2" s="72" t="s">
        <v>76</v>
      </c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3"/>
      <c r="AV2" s="3" t="s">
        <v>0</v>
      </c>
      <c r="AW2" s="72" t="s">
        <v>94</v>
      </c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3"/>
      <c r="BJ2" s="3" t="s">
        <v>0</v>
      </c>
      <c r="BK2" s="72" t="s">
        <v>95</v>
      </c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3"/>
      <c r="BX2" s="3" t="s">
        <v>0</v>
      </c>
      <c r="BY2" s="72" t="s">
        <v>96</v>
      </c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3"/>
      <c r="CL2" s="3" t="s">
        <v>0</v>
      </c>
      <c r="CM2" s="72" t="s">
        <v>97</v>
      </c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3"/>
      <c r="CZ2" s="3" t="s">
        <v>0</v>
      </c>
      <c r="DA2" s="72" t="s">
        <v>99</v>
      </c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3"/>
      <c r="DN2" s="3" t="s">
        <v>0</v>
      </c>
      <c r="DO2" s="72" t="s">
        <v>100</v>
      </c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3"/>
      <c r="EB2" s="3" t="s">
        <v>0</v>
      </c>
      <c r="EC2" s="72" t="s">
        <v>102</v>
      </c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3"/>
      <c r="EP2" s="3" t="s">
        <v>0</v>
      </c>
      <c r="EQ2" s="72" t="s">
        <v>106</v>
      </c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</row>
    <row r="3" spans="1:158" s="4" customFormat="1" ht="25.5" customHeight="1" x14ac:dyDescent="0.2">
      <c r="A3" s="5" t="s">
        <v>52</v>
      </c>
      <c r="B3" s="5" t="s">
        <v>1</v>
      </c>
      <c r="C3" s="5" t="s">
        <v>2</v>
      </c>
      <c r="D3" s="5" t="s">
        <v>3</v>
      </c>
      <c r="E3" s="5" t="s">
        <v>61</v>
      </c>
      <c r="F3" s="5" t="s">
        <v>62</v>
      </c>
      <c r="G3" s="5" t="s">
        <v>87</v>
      </c>
      <c r="H3" s="5" t="s">
        <v>86</v>
      </c>
      <c r="I3" s="5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52</v>
      </c>
      <c r="P3" s="5" t="s">
        <v>1</v>
      </c>
      <c r="Q3" s="5" t="s">
        <v>2</v>
      </c>
      <c r="R3" s="5" t="s">
        <v>3</v>
      </c>
      <c r="S3" s="5" t="s">
        <v>63</v>
      </c>
      <c r="T3" s="5" t="s">
        <v>64</v>
      </c>
      <c r="U3" s="5" t="s">
        <v>52</v>
      </c>
      <c r="V3" s="5" t="s">
        <v>1</v>
      </c>
      <c r="W3" s="5" t="s">
        <v>2</v>
      </c>
      <c r="X3" s="5" t="s">
        <v>3</v>
      </c>
      <c r="Y3" s="5" t="s">
        <v>63</v>
      </c>
      <c r="Z3" s="5" t="s">
        <v>64</v>
      </c>
      <c r="AA3" s="5" t="s">
        <v>52</v>
      </c>
      <c r="AB3" s="5" t="s">
        <v>1</v>
      </c>
      <c r="AC3" s="5" t="s">
        <v>2</v>
      </c>
      <c r="AD3" s="5" t="s">
        <v>3</v>
      </c>
      <c r="AE3" s="5" t="s">
        <v>63</v>
      </c>
      <c r="AF3" s="5" t="s">
        <v>64</v>
      </c>
      <c r="AG3" s="5" t="s">
        <v>52</v>
      </c>
      <c r="AH3" s="5" t="s">
        <v>1</v>
      </c>
      <c r="AI3" s="5" t="s">
        <v>2</v>
      </c>
      <c r="AJ3" s="5" t="s">
        <v>3</v>
      </c>
      <c r="AK3" s="5" t="s">
        <v>63</v>
      </c>
      <c r="AL3" s="5" t="s">
        <v>64</v>
      </c>
      <c r="AM3" s="5" t="s">
        <v>77</v>
      </c>
      <c r="AN3" s="5" t="s">
        <v>78</v>
      </c>
      <c r="AO3" s="5" t="s">
        <v>79</v>
      </c>
      <c r="AP3" s="5" t="s">
        <v>80</v>
      </c>
      <c r="AQ3" s="5" t="s">
        <v>81</v>
      </c>
      <c r="AR3" s="5" t="s">
        <v>82</v>
      </c>
      <c r="AS3" s="5" t="s">
        <v>83</v>
      </c>
      <c r="AT3" s="5" t="s">
        <v>84</v>
      </c>
      <c r="AU3" s="5" t="s">
        <v>52</v>
      </c>
      <c r="AV3" s="5" t="s">
        <v>1</v>
      </c>
      <c r="AW3" s="5" t="s">
        <v>2</v>
      </c>
      <c r="AX3" s="5" t="s">
        <v>3</v>
      </c>
      <c r="AY3" s="5" t="s">
        <v>63</v>
      </c>
      <c r="AZ3" s="5" t="s">
        <v>64</v>
      </c>
      <c r="BA3" s="5" t="s">
        <v>77</v>
      </c>
      <c r="BB3" s="5" t="s">
        <v>78</v>
      </c>
      <c r="BC3" s="5" t="s">
        <v>79</v>
      </c>
      <c r="BD3" s="5" t="s">
        <v>80</v>
      </c>
      <c r="BE3" s="5" t="s">
        <v>81</v>
      </c>
      <c r="BF3" s="5" t="s">
        <v>82</v>
      </c>
      <c r="BG3" s="5" t="s">
        <v>83</v>
      </c>
      <c r="BH3" s="5" t="s">
        <v>84</v>
      </c>
      <c r="BI3" s="5" t="s">
        <v>52</v>
      </c>
      <c r="BJ3" s="5" t="s">
        <v>1</v>
      </c>
      <c r="BK3" s="5" t="s">
        <v>2</v>
      </c>
      <c r="BL3" s="5" t="s">
        <v>3</v>
      </c>
      <c r="BM3" s="5" t="s">
        <v>63</v>
      </c>
      <c r="BN3" s="5" t="s">
        <v>64</v>
      </c>
      <c r="BO3" s="5" t="s">
        <v>77</v>
      </c>
      <c r="BP3" s="5" t="s">
        <v>78</v>
      </c>
      <c r="BQ3" s="5" t="s">
        <v>79</v>
      </c>
      <c r="BR3" s="5" t="s">
        <v>80</v>
      </c>
      <c r="BS3" s="5" t="s">
        <v>81</v>
      </c>
      <c r="BT3" s="5" t="s">
        <v>82</v>
      </c>
      <c r="BU3" s="5" t="s">
        <v>83</v>
      </c>
      <c r="BV3" s="5" t="s">
        <v>84</v>
      </c>
      <c r="BW3" s="5" t="s">
        <v>52</v>
      </c>
      <c r="BX3" s="5" t="s">
        <v>1</v>
      </c>
      <c r="BY3" s="5" t="s">
        <v>2</v>
      </c>
      <c r="BZ3" s="5" t="s">
        <v>3</v>
      </c>
      <c r="CA3" s="5" t="s">
        <v>63</v>
      </c>
      <c r="CB3" s="5" t="s">
        <v>64</v>
      </c>
      <c r="CC3" s="5" t="s">
        <v>77</v>
      </c>
      <c r="CD3" s="5" t="s">
        <v>78</v>
      </c>
      <c r="CE3" s="5" t="s">
        <v>79</v>
      </c>
      <c r="CF3" s="5" t="s">
        <v>80</v>
      </c>
      <c r="CG3" s="5" t="s">
        <v>81</v>
      </c>
      <c r="CH3" s="5" t="s">
        <v>82</v>
      </c>
      <c r="CI3" s="5" t="s">
        <v>83</v>
      </c>
      <c r="CJ3" s="5" t="s">
        <v>84</v>
      </c>
      <c r="CK3" s="5" t="s">
        <v>52</v>
      </c>
      <c r="CL3" s="5" t="s">
        <v>1</v>
      </c>
      <c r="CM3" s="5" t="s">
        <v>2</v>
      </c>
      <c r="CN3" s="5" t="s">
        <v>3</v>
      </c>
      <c r="CO3" s="5" t="s">
        <v>63</v>
      </c>
      <c r="CP3" s="5" t="s">
        <v>64</v>
      </c>
      <c r="CQ3" s="5" t="s">
        <v>77</v>
      </c>
      <c r="CR3" s="5" t="s">
        <v>78</v>
      </c>
      <c r="CS3" s="5" t="s">
        <v>79</v>
      </c>
      <c r="CT3" s="5" t="s">
        <v>80</v>
      </c>
      <c r="CU3" s="5" t="s">
        <v>81</v>
      </c>
      <c r="CV3" s="5" t="s">
        <v>82</v>
      </c>
      <c r="CW3" s="5" t="s">
        <v>83</v>
      </c>
      <c r="CX3" s="5" t="s">
        <v>84</v>
      </c>
      <c r="CY3" s="5" t="s">
        <v>52</v>
      </c>
      <c r="CZ3" s="5" t="s">
        <v>1</v>
      </c>
      <c r="DA3" s="5" t="s">
        <v>2</v>
      </c>
      <c r="DB3" s="5" t="s">
        <v>3</v>
      </c>
      <c r="DC3" s="5" t="s">
        <v>63</v>
      </c>
      <c r="DD3" s="5" t="s">
        <v>64</v>
      </c>
      <c r="DE3" s="5" t="s">
        <v>77</v>
      </c>
      <c r="DF3" s="5" t="s">
        <v>78</v>
      </c>
      <c r="DG3" s="5" t="s">
        <v>79</v>
      </c>
      <c r="DH3" s="5" t="s">
        <v>80</v>
      </c>
      <c r="DI3" s="5" t="s">
        <v>81</v>
      </c>
      <c r="DJ3" s="5" t="s">
        <v>82</v>
      </c>
      <c r="DK3" s="5" t="s">
        <v>83</v>
      </c>
      <c r="DL3" s="5" t="s">
        <v>84</v>
      </c>
      <c r="DM3" s="5" t="s">
        <v>52</v>
      </c>
      <c r="DN3" s="5" t="s">
        <v>1</v>
      </c>
      <c r="DO3" s="5" t="s">
        <v>2</v>
      </c>
      <c r="DP3" s="5" t="s">
        <v>3</v>
      </c>
      <c r="DQ3" s="5" t="s">
        <v>63</v>
      </c>
      <c r="DR3" s="5" t="s">
        <v>64</v>
      </c>
      <c r="DS3" s="5" t="s">
        <v>77</v>
      </c>
      <c r="DT3" s="5" t="s">
        <v>78</v>
      </c>
      <c r="DU3" s="5" t="s">
        <v>79</v>
      </c>
      <c r="DV3" s="5" t="s">
        <v>80</v>
      </c>
      <c r="DW3" s="5" t="s">
        <v>81</v>
      </c>
      <c r="DX3" s="5" t="s">
        <v>82</v>
      </c>
      <c r="DY3" s="5" t="s">
        <v>83</v>
      </c>
      <c r="DZ3" s="5" t="s">
        <v>84</v>
      </c>
      <c r="EA3" s="5" t="s">
        <v>52</v>
      </c>
      <c r="EB3" s="5" t="s">
        <v>1</v>
      </c>
      <c r="EC3" s="5" t="s">
        <v>2</v>
      </c>
      <c r="ED3" s="5" t="s">
        <v>3</v>
      </c>
      <c r="EE3" s="5" t="s">
        <v>63</v>
      </c>
      <c r="EF3" s="5" t="s">
        <v>64</v>
      </c>
      <c r="EG3" s="5" t="s">
        <v>77</v>
      </c>
      <c r="EH3" s="5" t="s">
        <v>78</v>
      </c>
      <c r="EI3" s="5" t="s">
        <v>79</v>
      </c>
      <c r="EJ3" s="5" t="s">
        <v>80</v>
      </c>
      <c r="EK3" s="5" t="s">
        <v>81</v>
      </c>
      <c r="EL3" s="5" t="s">
        <v>82</v>
      </c>
      <c r="EM3" s="5" t="s">
        <v>83</v>
      </c>
      <c r="EN3" s="5" t="s">
        <v>84</v>
      </c>
      <c r="EO3" s="5" t="s">
        <v>52</v>
      </c>
      <c r="EP3" s="5" t="s">
        <v>1</v>
      </c>
      <c r="EQ3" s="5" t="s">
        <v>2</v>
      </c>
      <c r="ER3" s="5" t="s">
        <v>3</v>
      </c>
      <c r="ES3" s="5" t="s">
        <v>63</v>
      </c>
      <c r="ET3" s="5" t="s">
        <v>64</v>
      </c>
      <c r="EU3" s="5" t="s">
        <v>77</v>
      </c>
      <c r="EV3" s="5" t="s">
        <v>78</v>
      </c>
      <c r="EW3" s="5" t="s">
        <v>79</v>
      </c>
      <c r="EX3" s="5" t="s">
        <v>80</v>
      </c>
      <c r="EY3" s="5" t="s">
        <v>81</v>
      </c>
      <c r="EZ3" s="5" t="s">
        <v>82</v>
      </c>
      <c r="FA3" s="5" t="s">
        <v>83</v>
      </c>
      <c r="FB3" s="5" t="s">
        <v>84</v>
      </c>
    </row>
    <row r="4" spans="1:158" s="45" customFormat="1" ht="12.75" customHeight="1" x14ac:dyDescent="0.2">
      <c r="A4" s="44"/>
      <c r="B4" s="44" t="s">
        <v>4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44"/>
      <c r="P4" s="44" t="s">
        <v>4</v>
      </c>
      <c r="Q4" s="23">
        <f>SUM(S4:T4)</f>
        <v>8485.0999999999985</v>
      </c>
      <c r="R4" s="23"/>
      <c r="S4" s="23">
        <v>5807.9</v>
      </c>
      <c r="T4" s="23">
        <v>2677.2</v>
      </c>
      <c r="U4" s="44"/>
      <c r="V4" s="44" t="s">
        <v>4</v>
      </c>
      <c r="W4" s="23">
        <f>SUM(Y4:Z4)</f>
        <v>8485.0999999999985</v>
      </c>
      <c r="X4" s="23"/>
      <c r="Y4" s="23">
        <v>5807.9</v>
      </c>
      <c r="Z4" s="23">
        <v>2677.2</v>
      </c>
      <c r="AA4" s="44"/>
      <c r="AB4" s="44" t="s">
        <v>4</v>
      </c>
      <c r="AC4" s="23">
        <f>SUM(AE4:AF4)</f>
        <v>8492</v>
      </c>
      <c r="AD4" s="23"/>
      <c r="AE4" s="23">
        <v>5807.9</v>
      </c>
      <c r="AF4" s="23">
        <v>2684.1</v>
      </c>
      <c r="AG4" s="44"/>
      <c r="AH4" s="44" t="s">
        <v>4</v>
      </c>
      <c r="AI4" s="23">
        <f>SUM(AK4:AT5)</f>
        <v>51402.820000000007</v>
      </c>
      <c r="AJ4" s="23"/>
      <c r="AK4" s="23">
        <v>5807.9</v>
      </c>
      <c r="AL4" s="23">
        <v>2675.45</v>
      </c>
      <c r="AM4" s="23">
        <v>7406.4</v>
      </c>
      <c r="AN4" s="23">
        <v>4951</v>
      </c>
      <c r="AO4" s="23">
        <v>8027.2</v>
      </c>
      <c r="AP4" s="23">
        <v>6027.18</v>
      </c>
      <c r="AQ4" s="23">
        <v>2186.4899999999998</v>
      </c>
      <c r="AR4" s="23">
        <v>4512.53</v>
      </c>
      <c r="AS4" s="23">
        <v>6337.98</v>
      </c>
      <c r="AT4" s="23">
        <v>3470.69</v>
      </c>
      <c r="AU4" s="44"/>
      <c r="AV4" s="44" t="s">
        <v>4</v>
      </c>
      <c r="AW4" s="23">
        <f>SUM(AY4:BH5)</f>
        <v>51391.530000000013</v>
      </c>
      <c r="AX4" s="23"/>
      <c r="AY4" s="23">
        <v>5807.9</v>
      </c>
      <c r="AZ4" s="23">
        <v>2675.45</v>
      </c>
      <c r="BA4" s="23">
        <v>7406.4</v>
      </c>
      <c r="BB4" s="23">
        <v>4949.5</v>
      </c>
      <c r="BC4" s="23">
        <v>8027.2</v>
      </c>
      <c r="BD4" s="23">
        <v>6027.18</v>
      </c>
      <c r="BE4" s="23">
        <v>2185.08</v>
      </c>
      <c r="BF4" s="23">
        <v>4506.76</v>
      </c>
      <c r="BG4" s="23">
        <v>6335.37</v>
      </c>
      <c r="BH4" s="23">
        <v>3470.69</v>
      </c>
      <c r="BI4" s="44"/>
      <c r="BJ4" s="44" t="s">
        <v>4</v>
      </c>
      <c r="BK4" s="23">
        <f>SUM(BM4:BV5)</f>
        <v>51381.560000000005</v>
      </c>
      <c r="BL4" s="23"/>
      <c r="BM4" s="23">
        <v>5807.9</v>
      </c>
      <c r="BN4" s="23">
        <v>2675.45</v>
      </c>
      <c r="BO4" s="23">
        <v>7406.4</v>
      </c>
      <c r="BP4" s="23">
        <v>4949.5</v>
      </c>
      <c r="BQ4" s="23">
        <v>8022.2</v>
      </c>
      <c r="BR4" s="23">
        <v>6025.42</v>
      </c>
      <c r="BS4" s="23">
        <v>2183.7800000000002</v>
      </c>
      <c r="BT4" s="23">
        <v>4506.76</v>
      </c>
      <c r="BU4" s="23">
        <v>6333.46</v>
      </c>
      <c r="BV4" s="23">
        <v>3470.69</v>
      </c>
      <c r="BW4" s="44"/>
      <c r="BX4" s="44" t="s">
        <v>4</v>
      </c>
      <c r="BY4" s="23">
        <f>SUM(CA4:CJ5)</f>
        <v>51381.560000000005</v>
      </c>
      <c r="BZ4" s="23"/>
      <c r="CA4" s="23">
        <v>5807.9</v>
      </c>
      <c r="CB4" s="23">
        <v>2675.45</v>
      </c>
      <c r="CC4" s="23">
        <v>7406.4</v>
      </c>
      <c r="CD4" s="23">
        <v>4949.5</v>
      </c>
      <c r="CE4" s="23">
        <v>8022.2</v>
      </c>
      <c r="CF4" s="23">
        <v>6025.42</v>
      </c>
      <c r="CG4" s="23">
        <v>2183.7800000000002</v>
      </c>
      <c r="CH4" s="23">
        <v>4506.76</v>
      </c>
      <c r="CI4" s="23">
        <v>6333.46</v>
      </c>
      <c r="CJ4" s="23">
        <v>3470.69</v>
      </c>
      <c r="CK4" s="44"/>
      <c r="CL4" s="44" t="s">
        <v>4</v>
      </c>
      <c r="CM4" s="23">
        <f>SUM(CO4:CX5)</f>
        <v>51381.560000000005</v>
      </c>
      <c r="CN4" s="23"/>
      <c r="CO4" s="23">
        <v>5807.9</v>
      </c>
      <c r="CP4" s="23">
        <v>2675.45</v>
      </c>
      <c r="CQ4" s="23">
        <v>7406.4</v>
      </c>
      <c r="CR4" s="23">
        <v>4949.5</v>
      </c>
      <c r="CS4" s="23">
        <v>8022.2</v>
      </c>
      <c r="CT4" s="23">
        <v>6025.42</v>
      </c>
      <c r="CU4" s="23">
        <v>2183.7800000000002</v>
      </c>
      <c r="CV4" s="23">
        <v>4506.76</v>
      </c>
      <c r="CW4" s="23">
        <v>6333.46</v>
      </c>
      <c r="CX4" s="23">
        <v>3470.69</v>
      </c>
      <c r="CY4" s="44"/>
      <c r="CZ4" s="44" t="s">
        <v>4</v>
      </c>
      <c r="DA4" s="23">
        <f>SUM(DC4:DL5)</f>
        <v>51381.560000000005</v>
      </c>
      <c r="DB4" s="23"/>
      <c r="DC4" s="23">
        <v>5807.9</v>
      </c>
      <c r="DD4" s="23">
        <v>2675.45</v>
      </c>
      <c r="DE4" s="23">
        <v>7406.4</v>
      </c>
      <c r="DF4" s="23">
        <v>4949.5</v>
      </c>
      <c r="DG4" s="23">
        <v>8022.2</v>
      </c>
      <c r="DH4" s="23">
        <v>6025.42</v>
      </c>
      <c r="DI4" s="23">
        <v>2183.7800000000002</v>
      </c>
      <c r="DJ4" s="23">
        <v>4506.76</v>
      </c>
      <c r="DK4" s="23">
        <v>6333.46</v>
      </c>
      <c r="DL4" s="23">
        <v>3470.69</v>
      </c>
      <c r="DM4" s="44"/>
      <c r="DN4" s="44" t="s">
        <v>4</v>
      </c>
      <c r="DO4" s="23">
        <f>SUM(DQ4:DZ5)</f>
        <v>51362.92</v>
      </c>
      <c r="DP4" s="23"/>
      <c r="DQ4" s="23">
        <v>5807.9</v>
      </c>
      <c r="DR4" s="23">
        <v>2675.45</v>
      </c>
      <c r="DS4" s="23">
        <v>7406.4</v>
      </c>
      <c r="DT4" s="23">
        <v>4949</v>
      </c>
      <c r="DU4" s="23">
        <v>8010.5</v>
      </c>
      <c r="DV4" s="23">
        <v>6024.01</v>
      </c>
      <c r="DW4" s="23">
        <v>2182.02</v>
      </c>
      <c r="DX4" s="23">
        <v>4504.97</v>
      </c>
      <c r="DY4" s="23">
        <v>6331.98</v>
      </c>
      <c r="DZ4" s="23">
        <v>3470.69</v>
      </c>
      <c r="EA4" s="44"/>
      <c r="EB4" s="44" t="s">
        <v>4</v>
      </c>
      <c r="EC4" s="23">
        <f>SUM(EE4:EN5)</f>
        <v>51361.22</v>
      </c>
      <c r="ED4" s="23"/>
      <c r="EE4" s="23">
        <v>5807.9</v>
      </c>
      <c r="EF4" s="23">
        <v>2675.45</v>
      </c>
      <c r="EG4" s="23">
        <v>7406.4</v>
      </c>
      <c r="EH4" s="23">
        <v>4949</v>
      </c>
      <c r="EI4" s="23">
        <v>8008.8</v>
      </c>
      <c r="EJ4" s="23">
        <v>6024.01</v>
      </c>
      <c r="EK4" s="23">
        <v>2182.02</v>
      </c>
      <c r="EL4" s="23">
        <v>4504.97</v>
      </c>
      <c r="EM4" s="23">
        <v>6331.98</v>
      </c>
      <c r="EN4" s="23">
        <v>3470.69</v>
      </c>
      <c r="EO4" s="44"/>
      <c r="EP4" s="44" t="s">
        <v>4</v>
      </c>
      <c r="EQ4" s="23">
        <f>SUM(ES4:FB5)</f>
        <v>51361.22</v>
      </c>
      <c r="ER4" s="23"/>
      <c r="ES4" s="23">
        <v>5807.9</v>
      </c>
      <c r="ET4" s="23">
        <v>2675.45</v>
      </c>
      <c r="EU4" s="23">
        <v>7406.4</v>
      </c>
      <c r="EV4" s="23">
        <v>4949</v>
      </c>
      <c r="EW4" s="23">
        <v>8008.8</v>
      </c>
      <c r="EX4" s="23">
        <v>6024.01</v>
      </c>
      <c r="EY4" s="23">
        <v>2182.02</v>
      </c>
      <c r="EZ4" s="23">
        <v>4504.97</v>
      </c>
      <c r="FA4" s="23">
        <v>6331.98</v>
      </c>
      <c r="FB4" s="23">
        <v>3470.69</v>
      </c>
    </row>
    <row r="5" spans="1:158" s="4" customFormat="1" ht="12" x14ac:dyDescent="0.2">
      <c r="A5" s="78" t="s">
        <v>5</v>
      </c>
      <c r="B5" s="78"/>
      <c r="C5" s="7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</row>
    <row r="6" spans="1:158" s="4" customFormat="1" ht="13.5" customHeight="1" x14ac:dyDescent="0.2">
      <c r="A6" s="8"/>
      <c r="B6" s="8" t="s">
        <v>6</v>
      </c>
      <c r="C6" s="9">
        <v>8.6</v>
      </c>
      <c r="D6" s="10"/>
      <c r="E6" s="11">
        <v>9.1999999999999993</v>
      </c>
      <c r="F6" s="11">
        <v>27.59</v>
      </c>
      <c r="G6" s="11">
        <v>9.6</v>
      </c>
      <c r="H6" s="11">
        <v>9.6</v>
      </c>
      <c r="I6" s="11">
        <v>9.6</v>
      </c>
      <c r="J6" s="11">
        <v>9.6</v>
      </c>
      <c r="K6" s="11">
        <v>9.6</v>
      </c>
      <c r="L6" s="11">
        <v>9.6</v>
      </c>
      <c r="M6" s="11">
        <v>9.6</v>
      </c>
      <c r="N6" s="11">
        <v>9.6</v>
      </c>
      <c r="O6" s="8"/>
      <c r="P6" s="8" t="s">
        <v>6</v>
      </c>
      <c r="Q6" s="9">
        <v>8.6</v>
      </c>
      <c r="R6" s="10"/>
      <c r="S6" s="11">
        <v>9.1999999999999993</v>
      </c>
      <c r="T6" s="11">
        <v>27.59</v>
      </c>
      <c r="U6" s="8"/>
      <c r="V6" s="8" t="s">
        <v>6</v>
      </c>
      <c r="W6" s="9">
        <v>8.6</v>
      </c>
      <c r="X6" s="10"/>
      <c r="Y6" s="11">
        <v>9.1999999999999993</v>
      </c>
      <c r="Z6" s="11">
        <v>27.59</v>
      </c>
      <c r="AA6" s="8"/>
      <c r="AB6" s="8" t="s">
        <v>6</v>
      </c>
      <c r="AC6" s="9">
        <v>8.6</v>
      </c>
      <c r="AD6" s="10"/>
      <c r="AE6" s="11">
        <v>9.1999999999999993</v>
      </c>
      <c r="AF6" s="11">
        <v>27.59</v>
      </c>
      <c r="AG6" s="8"/>
      <c r="AH6" s="8" t="s">
        <v>6</v>
      </c>
      <c r="AI6" s="9"/>
      <c r="AJ6" s="10"/>
      <c r="AK6" s="11">
        <v>9.1999999999999993</v>
      </c>
      <c r="AL6" s="11">
        <v>27.59</v>
      </c>
      <c r="AM6" s="11">
        <v>9.6</v>
      </c>
      <c r="AN6" s="11">
        <v>9.6</v>
      </c>
      <c r="AO6" s="11">
        <v>9.6</v>
      </c>
      <c r="AP6" s="11">
        <v>9.6</v>
      </c>
      <c r="AQ6" s="11">
        <v>9.6</v>
      </c>
      <c r="AR6" s="11">
        <v>9.6</v>
      </c>
      <c r="AS6" s="11">
        <v>9.6</v>
      </c>
      <c r="AT6" s="11">
        <v>9.6</v>
      </c>
      <c r="AU6" s="8"/>
      <c r="AV6" s="8" t="s">
        <v>6</v>
      </c>
      <c r="AW6" s="9"/>
      <c r="AX6" s="10"/>
      <c r="AY6" s="11">
        <v>9.1999999999999993</v>
      </c>
      <c r="AZ6" s="11">
        <v>27.59</v>
      </c>
      <c r="BA6" s="11">
        <v>9.6</v>
      </c>
      <c r="BB6" s="11">
        <v>9.6</v>
      </c>
      <c r="BC6" s="11">
        <v>9.6</v>
      </c>
      <c r="BD6" s="11">
        <v>9.6</v>
      </c>
      <c r="BE6" s="11">
        <v>9.6</v>
      </c>
      <c r="BF6" s="11">
        <v>9.6</v>
      </c>
      <c r="BG6" s="11">
        <v>9.6</v>
      </c>
      <c r="BH6" s="11">
        <v>9.6</v>
      </c>
      <c r="BI6" s="8"/>
      <c r="BJ6" s="8" t="s">
        <v>6</v>
      </c>
      <c r="BK6" s="9"/>
      <c r="BL6" s="10"/>
      <c r="BM6" s="11">
        <v>9.1999999999999993</v>
      </c>
      <c r="BN6" s="11">
        <v>27.59</v>
      </c>
      <c r="BO6" s="11">
        <v>9.6</v>
      </c>
      <c r="BP6" s="11">
        <v>9.6</v>
      </c>
      <c r="BQ6" s="11">
        <v>9.6</v>
      </c>
      <c r="BR6" s="11">
        <v>9.6</v>
      </c>
      <c r="BS6" s="11">
        <v>9.6</v>
      </c>
      <c r="BT6" s="11">
        <v>9.6</v>
      </c>
      <c r="BU6" s="11">
        <v>9.6</v>
      </c>
      <c r="BV6" s="11">
        <v>9.6</v>
      </c>
      <c r="BW6" s="8"/>
      <c r="BX6" s="8" t="s">
        <v>6</v>
      </c>
      <c r="BY6" s="9"/>
      <c r="BZ6" s="10"/>
      <c r="CA6" s="11">
        <v>9.1999999999999993</v>
      </c>
      <c r="CB6" s="11">
        <v>27.59</v>
      </c>
      <c r="CC6" s="11">
        <v>9.6</v>
      </c>
      <c r="CD6" s="11">
        <v>9.6</v>
      </c>
      <c r="CE6" s="11">
        <v>9.6</v>
      </c>
      <c r="CF6" s="11">
        <v>9.6</v>
      </c>
      <c r="CG6" s="11">
        <v>9.6</v>
      </c>
      <c r="CH6" s="11">
        <v>9.6</v>
      </c>
      <c r="CI6" s="11">
        <v>9.6</v>
      </c>
      <c r="CJ6" s="11">
        <v>9.6</v>
      </c>
      <c r="CK6" s="8"/>
      <c r="CL6" s="8" t="s">
        <v>6</v>
      </c>
      <c r="CM6" s="9"/>
      <c r="CN6" s="10"/>
      <c r="CO6" s="11">
        <v>9.1999999999999993</v>
      </c>
      <c r="CP6" s="11">
        <v>27.59</v>
      </c>
      <c r="CQ6" s="11">
        <v>9.6</v>
      </c>
      <c r="CR6" s="11">
        <v>9.6</v>
      </c>
      <c r="CS6" s="11">
        <v>9.6</v>
      </c>
      <c r="CT6" s="11">
        <v>9.6</v>
      </c>
      <c r="CU6" s="11">
        <v>9.6</v>
      </c>
      <c r="CV6" s="11">
        <v>9.6</v>
      </c>
      <c r="CW6" s="11">
        <v>9.6</v>
      </c>
      <c r="CX6" s="11">
        <v>9.6</v>
      </c>
      <c r="CY6" s="8"/>
      <c r="CZ6" s="8" t="s">
        <v>6</v>
      </c>
      <c r="DA6" s="9"/>
      <c r="DB6" s="10"/>
      <c r="DC6" s="11">
        <v>9.1999999999999993</v>
      </c>
      <c r="DD6" s="11">
        <v>27.59</v>
      </c>
      <c r="DE6" s="11">
        <v>9.6</v>
      </c>
      <c r="DF6" s="11">
        <v>9.6</v>
      </c>
      <c r="DG6" s="11">
        <v>9.6</v>
      </c>
      <c r="DH6" s="11">
        <v>9.6</v>
      </c>
      <c r="DI6" s="11">
        <v>9.6</v>
      </c>
      <c r="DJ6" s="11">
        <v>9.6</v>
      </c>
      <c r="DK6" s="11">
        <v>9.6</v>
      </c>
      <c r="DL6" s="11">
        <v>9.6</v>
      </c>
      <c r="DM6" s="8"/>
      <c r="DN6" s="8" t="s">
        <v>6</v>
      </c>
      <c r="DO6" s="9"/>
      <c r="DP6" s="10"/>
      <c r="DQ6" s="11">
        <v>9.1999999999999993</v>
      </c>
      <c r="DR6" s="11">
        <v>27.59</v>
      </c>
      <c r="DS6" s="11">
        <v>9.6</v>
      </c>
      <c r="DT6" s="11">
        <v>9.6</v>
      </c>
      <c r="DU6" s="11">
        <v>9.6</v>
      </c>
      <c r="DV6" s="11">
        <v>9.6</v>
      </c>
      <c r="DW6" s="11">
        <v>9.6</v>
      </c>
      <c r="DX6" s="11">
        <v>9.6</v>
      </c>
      <c r="DY6" s="11">
        <v>9.6</v>
      </c>
      <c r="DZ6" s="11">
        <v>9.6</v>
      </c>
      <c r="EA6" s="8"/>
      <c r="EB6" s="8" t="s">
        <v>6</v>
      </c>
      <c r="EC6" s="9"/>
      <c r="ED6" s="10"/>
      <c r="EE6" s="11">
        <v>9.1999999999999993</v>
      </c>
      <c r="EF6" s="11">
        <v>27.59</v>
      </c>
      <c r="EG6" s="11">
        <v>9.6</v>
      </c>
      <c r="EH6" s="11">
        <v>9.6</v>
      </c>
      <c r="EI6" s="11">
        <v>9.6</v>
      </c>
      <c r="EJ6" s="11">
        <v>9.6</v>
      </c>
      <c r="EK6" s="11">
        <v>9.6</v>
      </c>
      <c r="EL6" s="11">
        <v>9.6</v>
      </c>
      <c r="EM6" s="11">
        <v>9.6</v>
      </c>
      <c r="EN6" s="11">
        <v>9.6</v>
      </c>
      <c r="EO6" s="8"/>
      <c r="EP6" s="8" t="s">
        <v>6</v>
      </c>
      <c r="EQ6" s="9"/>
      <c r="ER6" s="10"/>
      <c r="ES6" s="11">
        <v>9.1999999999999993</v>
      </c>
      <c r="ET6" s="11">
        <v>27.59</v>
      </c>
      <c r="EU6" s="11">
        <v>9.6</v>
      </c>
      <c r="EV6" s="11">
        <v>9.6</v>
      </c>
      <c r="EW6" s="11">
        <v>9.6</v>
      </c>
      <c r="EX6" s="11">
        <v>9.6</v>
      </c>
      <c r="EY6" s="11">
        <v>9.6</v>
      </c>
      <c r="EZ6" s="11">
        <v>9.6</v>
      </c>
      <c r="FA6" s="11">
        <v>9.6</v>
      </c>
      <c r="FB6" s="11">
        <v>9.6</v>
      </c>
    </row>
    <row r="7" spans="1:158" s="19" customFormat="1" ht="12" x14ac:dyDescent="0.2">
      <c r="A7" s="15"/>
      <c r="B7" s="12" t="s">
        <v>54</v>
      </c>
      <c r="C7" s="13">
        <f>SUM(E7:J7)</f>
        <v>96578.2</v>
      </c>
      <c r="D7" s="14"/>
      <c r="E7" s="14">
        <v>8590.1200000000008</v>
      </c>
      <c r="F7" s="14">
        <v>87988.08</v>
      </c>
      <c r="G7" s="14"/>
      <c r="H7" s="14"/>
      <c r="I7" s="14"/>
      <c r="J7" s="14"/>
      <c r="K7" s="14"/>
      <c r="L7" s="14"/>
      <c r="M7" s="14"/>
      <c r="N7" s="14"/>
      <c r="O7" s="15"/>
      <c r="P7" s="15"/>
      <c r="Q7" s="16"/>
      <c r="R7" s="17"/>
      <c r="S7" s="18"/>
      <c r="T7" s="18"/>
      <c r="U7" s="15"/>
      <c r="V7" s="15"/>
      <c r="W7" s="16"/>
      <c r="X7" s="17"/>
      <c r="Y7" s="18"/>
      <c r="Z7" s="18"/>
      <c r="AA7" s="15"/>
      <c r="AB7" s="15"/>
      <c r="AC7" s="16"/>
      <c r="AD7" s="17"/>
      <c r="AE7" s="18"/>
      <c r="AF7" s="18"/>
      <c r="AG7" s="15"/>
      <c r="AH7" s="15"/>
      <c r="AI7" s="16"/>
      <c r="AJ7" s="17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5"/>
      <c r="AV7" s="15"/>
      <c r="AW7" s="16"/>
      <c r="AX7" s="17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5"/>
      <c r="BJ7" s="15"/>
      <c r="BK7" s="16"/>
      <c r="BL7" s="17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5"/>
      <c r="BX7" s="15"/>
      <c r="BY7" s="16"/>
      <c r="BZ7" s="17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5"/>
      <c r="CL7" s="15"/>
      <c r="CM7" s="16"/>
      <c r="CN7" s="17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5"/>
      <c r="CZ7" s="15"/>
      <c r="DA7" s="16"/>
      <c r="DB7" s="17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5"/>
      <c r="DN7" s="15"/>
      <c r="DO7" s="16"/>
      <c r="DP7" s="17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5"/>
      <c r="EB7" s="15"/>
      <c r="EC7" s="16"/>
      <c r="ED7" s="17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5"/>
      <c r="EP7" s="15"/>
      <c r="EQ7" s="16"/>
      <c r="ER7" s="17"/>
      <c r="ES7" s="18"/>
      <c r="ET7" s="18"/>
      <c r="EU7" s="18"/>
      <c r="EV7" s="18"/>
      <c r="EW7" s="18"/>
      <c r="EX7" s="18"/>
      <c r="EY7" s="18"/>
      <c r="EZ7" s="18"/>
      <c r="FA7" s="18"/>
      <c r="FB7" s="18"/>
    </row>
    <row r="8" spans="1:158" s="4" customFormat="1" ht="12" x14ac:dyDescent="0.2">
      <c r="A8" s="54"/>
      <c r="B8" s="20" t="s">
        <v>55</v>
      </c>
      <c r="C8" s="13">
        <v>213332.22</v>
      </c>
      <c r="D8" s="21" t="s">
        <v>7</v>
      </c>
      <c r="E8" s="6"/>
      <c r="F8" s="6"/>
      <c r="G8" s="6"/>
      <c r="H8" s="6"/>
      <c r="I8" s="6"/>
      <c r="J8" s="6"/>
      <c r="K8" s="6"/>
      <c r="L8" s="6"/>
      <c r="M8" s="6"/>
      <c r="N8" s="6"/>
      <c r="O8" s="54"/>
      <c r="P8" s="20"/>
      <c r="Q8" s="6"/>
      <c r="R8" s="6"/>
      <c r="S8" s="6"/>
      <c r="T8" s="6"/>
      <c r="U8" s="54"/>
      <c r="V8" s="20"/>
      <c r="W8" s="6"/>
      <c r="X8" s="6"/>
      <c r="Y8" s="6"/>
      <c r="Z8" s="6"/>
      <c r="AA8" s="54"/>
      <c r="AB8" s="20"/>
      <c r="AC8" s="6"/>
      <c r="AD8" s="6"/>
      <c r="AE8" s="6"/>
      <c r="AF8" s="6"/>
      <c r="AG8" s="54"/>
      <c r="AH8" s="20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54"/>
      <c r="AV8" s="20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54"/>
      <c r="BJ8" s="20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54"/>
      <c r="BX8" s="20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54"/>
      <c r="CL8" s="20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54"/>
      <c r="CZ8" s="20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54"/>
      <c r="DN8" s="20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54"/>
      <c r="EB8" s="20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54"/>
      <c r="EP8" s="20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</row>
    <row r="9" spans="1:158" s="4" customFormat="1" ht="24" x14ac:dyDescent="0.2">
      <c r="A9" s="54"/>
      <c r="B9" s="20" t="s">
        <v>56</v>
      </c>
      <c r="C9" s="13">
        <v>5440.97</v>
      </c>
      <c r="D9" s="22">
        <f>C8+C9</f>
        <v>218773.19</v>
      </c>
      <c r="E9" s="23">
        <v>205157</v>
      </c>
      <c r="F9" s="23">
        <v>13616</v>
      </c>
      <c r="G9" s="23"/>
      <c r="H9" s="23"/>
      <c r="I9" s="23"/>
      <c r="J9" s="23"/>
      <c r="K9" s="23"/>
      <c r="L9" s="23"/>
      <c r="M9" s="23"/>
      <c r="N9" s="23"/>
      <c r="O9" s="54"/>
      <c r="P9" s="49"/>
      <c r="Q9" s="6"/>
      <c r="R9" s="6"/>
      <c r="S9" s="6"/>
      <c r="T9" s="6"/>
      <c r="U9" s="54"/>
      <c r="V9" s="49"/>
      <c r="W9" s="6"/>
      <c r="X9" s="6"/>
      <c r="Y9" s="6"/>
      <c r="Z9" s="6"/>
      <c r="AA9" s="54"/>
      <c r="AB9" s="49"/>
      <c r="AC9" s="6"/>
      <c r="AD9" s="6"/>
      <c r="AE9" s="6"/>
      <c r="AF9" s="6"/>
      <c r="AG9" s="54"/>
      <c r="AH9" s="49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54"/>
      <c r="AV9" s="49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54"/>
      <c r="BJ9" s="49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54"/>
      <c r="BX9" s="49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54"/>
      <c r="CL9" s="49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54"/>
      <c r="CZ9" s="49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54"/>
      <c r="DN9" s="49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54"/>
      <c r="EB9" s="49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54"/>
      <c r="EP9" s="49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</row>
    <row r="10" spans="1:158" s="4" customFormat="1" ht="24" customHeight="1" x14ac:dyDescent="0.2">
      <c r="A10" s="55" t="s">
        <v>8</v>
      </c>
      <c r="B10" s="12" t="s">
        <v>9</v>
      </c>
      <c r="C10" s="24">
        <f>SUM(E10:N10)</f>
        <v>5020418.05</v>
      </c>
      <c r="D10" s="23"/>
      <c r="E10" s="23">
        <f>S10+Y10+AE10+AK10+AY10+BM10+CA10+CO10+DC10+DQ10+EE10+ES10</f>
        <v>770618.95</v>
      </c>
      <c r="F10" s="23">
        <f>T10+Z10+AF10+AL10+AZ10+BN10+CB10+CP10+DD10+DR10+EF10+ET10</f>
        <v>945644.23</v>
      </c>
      <c r="G10" s="23">
        <f>AM10+BA10+BO10+CC10+CQ10+DE10+DS10+EG10+EU10</f>
        <v>566582.26</v>
      </c>
      <c r="H10" s="23">
        <f t="shared" ref="H10:N13" si="0">AN10+BB10+BP10+CD10+CR10+DF10+DT10+EH10+EV10</f>
        <v>379373.75999999995</v>
      </c>
      <c r="I10" s="23">
        <f t="shared" si="0"/>
        <v>617525.24999999988</v>
      </c>
      <c r="J10" s="23">
        <f t="shared" si="0"/>
        <v>466372.05999999994</v>
      </c>
      <c r="K10" s="23">
        <f t="shared" si="0"/>
        <v>169412.81</v>
      </c>
      <c r="L10" s="23">
        <f t="shared" si="0"/>
        <v>349324.39999999997</v>
      </c>
      <c r="M10" s="23">
        <f t="shared" si="0"/>
        <v>490007.34</v>
      </c>
      <c r="N10" s="23">
        <f t="shared" si="0"/>
        <v>265556.99</v>
      </c>
      <c r="O10" s="55" t="s">
        <v>8</v>
      </c>
      <c r="P10" s="12" t="s">
        <v>9</v>
      </c>
      <c r="Q10" s="24">
        <f>SUM(S10:T10)</f>
        <v>96523.56</v>
      </c>
      <c r="R10" s="14">
        <v>0</v>
      </c>
      <c r="S10" s="14">
        <f>20440.56+5252.91</f>
        <v>25693.47</v>
      </c>
      <c r="T10" s="14">
        <f>3520+64888.92+2421.17</f>
        <v>70830.09</v>
      </c>
      <c r="U10" s="55" t="s">
        <v>8</v>
      </c>
      <c r="V10" s="12" t="s">
        <v>9</v>
      </c>
      <c r="W10" s="24">
        <f>SUM(Y10:Z10)</f>
        <v>99638.219999999987</v>
      </c>
      <c r="X10" s="14">
        <v>0</v>
      </c>
      <c r="Y10" s="14">
        <f>21256.6+5558.29</f>
        <v>26814.89</v>
      </c>
      <c r="Z10" s="14">
        <f>67373.4+2561.93+1064+1824</f>
        <v>72823.329999999987</v>
      </c>
      <c r="AA10" s="55" t="s">
        <v>8</v>
      </c>
      <c r="AB10" s="12" t="s">
        <v>9</v>
      </c>
      <c r="AC10" s="24">
        <f>SUM(AE10:AF10)</f>
        <v>174983.07</v>
      </c>
      <c r="AD10" s="14">
        <v>0</v>
      </c>
      <c r="AE10" s="14">
        <f>23554.76+28601.88+29799.72+8682.96</f>
        <v>90639.32</v>
      </c>
      <c r="AF10" s="14">
        <f>68979.14+2128+608+304+608+10400.32+1316.29</f>
        <v>84343.749999999985</v>
      </c>
      <c r="AG10" s="55" t="s">
        <v>8</v>
      </c>
      <c r="AH10" s="12" t="s">
        <v>9</v>
      </c>
      <c r="AI10" s="24">
        <f>SUM(AK10:AT10)</f>
        <v>126308.90000000001</v>
      </c>
      <c r="AJ10" s="14">
        <v>0</v>
      </c>
      <c r="AK10" s="14">
        <f>23310+28601.88</f>
        <v>51911.880000000005</v>
      </c>
      <c r="AL10" s="14">
        <f>68937.02+1260+660+1976+1260+304</f>
        <v>74397.02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4">
        <v>0</v>
      </c>
      <c r="AT10" s="14">
        <v>0</v>
      </c>
      <c r="AU10" s="55" t="s">
        <v>8</v>
      </c>
      <c r="AV10" s="12" t="s">
        <v>9</v>
      </c>
      <c r="AW10" s="24">
        <f>SUM(AY10:BH10)</f>
        <v>472133.58999999997</v>
      </c>
      <c r="AX10" s="14">
        <v>0</v>
      </c>
      <c r="AY10" s="14">
        <f>24447.65</f>
        <v>24447.65</v>
      </c>
      <c r="AZ10" s="14">
        <f>69173.18+304+304+2700</f>
        <v>72481.179999999993</v>
      </c>
      <c r="BA10" s="14">
        <v>70644.639999999999</v>
      </c>
      <c r="BB10" s="14">
        <v>48133.49</v>
      </c>
      <c r="BC10" s="14">
        <f>75713.78</f>
        <v>75713.78</v>
      </c>
      <c r="BD10" s="14">
        <v>48263.25</v>
      </c>
      <c r="BE10" s="14">
        <v>17502.810000000001</v>
      </c>
      <c r="BF10" s="14">
        <v>37875.440000000002</v>
      </c>
      <c r="BG10" s="14">
        <v>43217</v>
      </c>
      <c r="BH10" s="14">
        <v>33854.35</v>
      </c>
      <c r="BI10" s="55" t="s">
        <v>8</v>
      </c>
      <c r="BJ10" s="12" t="s">
        <v>9</v>
      </c>
      <c r="BK10" s="24">
        <f>SUM(BM10:BV10)</f>
        <v>624087.31999999995</v>
      </c>
      <c r="BL10" s="14">
        <v>0</v>
      </c>
      <c r="BM10" s="14">
        <f>43804.4+43804.4+25059.98</f>
        <v>112668.78</v>
      </c>
      <c r="BN10" s="14">
        <f>3000+1824+73340.47</f>
        <v>78164.47</v>
      </c>
      <c r="BO10" s="14">
        <f>66687.36</f>
        <v>66687.360000000001</v>
      </c>
      <c r="BP10" s="14">
        <f>46795.31</f>
        <v>46795.31</v>
      </c>
      <c r="BQ10" s="14">
        <f>76721.64</f>
        <v>76721.64</v>
      </c>
      <c r="BR10" s="14">
        <f>64850.81</f>
        <v>64850.81</v>
      </c>
      <c r="BS10" s="14">
        <f>24635.15</f>
        <v>24635.15</v>
      </c>
      <c r="BT10" s="14">
        <f>46529.49</f>
        <v>46529.49</v>
      </c>
      <c r="BU10" s="14">
        <f>73902.58</f>
        <v>73902.58</v>
      </c>
      <c r="BV10" s="14">
        <f>33131.73</f>
        <v>33131.730000000003</v>
      </c>
      <c r="BW10" s="55" t="s">
        <v>8</v>
      </c>
      <c r="BX10" s="12" t="s">
        <v>9</v>
      </c>
      <c r="BY10" s="24">
        <f>SUM(CA10:CJ10)</f>
        <v>534815</v>
      </c>
      <c r="BZ10" s="14">
        <v>0</v>
      </c>
      <c r="CA10" s="14">
        <f>26815.56</f>
        <v>26815.56</v>
      </c>
      <c r="CB10" s="14">
        <f>76042.83+608+20761</f>
        <v>97411.83</v>
      </c>
      <c r="CC10" s="14">
        <f>70092.24</f>
        <v>70092.240000000005</v>
      </c>
      <c r="CD10" s="14">
        <f>43703.9</f>
        <v>43703.9</v>
      </c>
      <c r="CE10" s="14">
        <f>78898.06</f>
        <v>78898.06</v>
      </c>
      <c r="CF10" s="14">
        <f>55873.91</f>
        <v>55873.91</v>
      </c>
      <c r="CG10" s="14">
        <f>19710.43</f>
        <v>19710.43</v>
      </c>
      <c r="CH10" s="14">
        <f>46855.84</f>
        <v>46855.839999999997</v>
      </c>
      <c r="CI10" s="14">
        <f>61477.71</f>
        <v>61477.71</v>
      </c>
      <c r="CJ10" s="14">
        <f>33975.52</f>
        <v>33975.519999999997</v>
      </c>
      <c r="CK10" s="55" t="s">
        <v>8</v>
      </c>
      <c r="CL10" s="12" t="s">
        <v>9</v>
      </c>
      <c r="CM10" s="24">
        <f>SUM(CO10:CX10)</f>
        <v>592221.66</v>
      </c>
      <c r="CN10" s="14">
        <v>0</v>
      </c>
      <c r="CO10" s="14">
        <f>40479.16+38329.03+27000.37</f>
        <v>105808.56</v>
      </c>
      <c r="CP10" s="14">
        <f>610+2700+72982.33</f>
        <v>76292.33</v>
      </c>
      <c r="CQ10" s="14">
        <f>70483.44</f>
        <v>70483.44</v>
      </c>
      <c r="CR10" s="14">
        <f>45287.72</f>
        <v>45287.72</v>
      </c>
      <c r="CS10" s="14">
        <f>71933.54</f>
        <v>71933.539999999994</v>
      </c>
      <c r="CT10" s="14">
        <f>63489.18</f>
        <v>63489.18</v>
      </c>
      <c r="CU10" s="14">
        <f>22465</f>
        <v>22465</v>
      </c>
      <c r="CV10" s="14">
        <f>42202.89</f>
        <v>42202.89</v>
      </c>
      <c r="CW10" s="14">
        <f>61901.07</f>
        <v>61901.07</v>
      </c>
      <c r="CX10" s="14">
        <f>32357.93</f>
        <v>32357.93</v>
      </c>
      <c r="CY10" s="55" t="s">
        <v>8</v>
      </c>
      <c r="CZ10" s="12" t="s">
        <v>9</v>
      </c>
      <c r="DA10" s="24">
        <f>SUM(DC10:DL10)</f>
        <v>560998.02</v>
      </c>
      <c r="DB10" s="14">
        <v>0</v>
      </c>
      <c r="DC10" s="14">
        <f>40673.61+28186.88</f>
        <v>68860.490000000005</v>
      </c>
      <c r="DD10" s="14">
        <f>304+304+71081.78</f>
        <v>71689.78</v>
      </c>
      <c r="DE10" s="14">
        <f>68352.88</f>
        <v>68352.88</v>
      </c>
      <c r="DF10" s="14">
        <f>55124.49</f>
        <v>55124.49</v>
      </c>
      <c r="DG10" s="14">
        <f>79487.41</f>
        <v>79487.41</v>
      </c>
      <c r="DH10" s="14">
        <f>64724.97</f>
        <v>64724.97</v>
      </c>
      <c r="DI10" s="14">
        <f>19043.3</f>
        <v>19043.3</v>
      </c>
      <c r="DJ10" s="14">
        <f>39289.62</f>
        <v>39289.620000000003</v>
      </c>
      <c r="DK10" s="14">
        <f>61941.65</f>
        <v>61941.65</v>
      </c>
      <c r="DL10" s="14">
        <f>32483.43</f>
        <v>32483.43</v>
      </c>
      <c r="DM10" s="55" t="s">
        <v>8</v>
      </c>
      <c r="DN10" s="12" t="s">
        <v>9</v>
      </c>
      <c r="DO10" s="24">
        <f>SUM(DQ10:DZ10)</f>
        <v>565042.98</v>
      </c>
      <c r="DP10" s="14">
        <v>0</v>
      </c>
      <c r="DQ10" s="14">
        <f>28897.76+40237.8</f>
        <v>69135.56</v>
      </c>
      <c r="DR10" s="14">
        <f>78152.83</f>
        <v>78152.83</v>
      </c>
      <c r="DS10" s="14">
        <f>74138.1</f>
        <v>74138.100000000006</v>
      </c>
      <c r="DT10" s="14">
        <f>46492.94</f>
        <v>46492.94</v>
      </c>
      <c r="DU10" s="14">
        <f>76212.6</f>
        <v>76212.600000000006</v>
      </c>
      <c r="DV10" s="14">
        <f>55749.12</f>
        <v>55749.120000000003</v>
      </c>
      <c r="DW10" s="14">
        <f>24947.97</f>
        <v>24947.97</v>
      </c>
      <c r="DX10" s="14">
        <f>42587.22</f>
        <v>42587.22</v>
      </c>
      <c r="DY10" s="14">
        <f>64166.95</f>
        <v>64166.95</v>
      </c>
      <c r="DZ10" s="14">
        <v>33459.69</v>
      </c>
      <c r="EA10" s="55" t="s">
        <v>8</v>
      </c>
      <c r="EB10" s="12" t="s">
        <v>9</v>
      </c>
      <c r="EC10" s="24">
        <f>SUM(EE10:EN10)</f>
        <v>526762.13</v>
      </c>
      <c r="ED10" s="14">
        <v>0</v>
      </c>
      <c r="EE10" s="14">
        <f>30237.66</f>
        <v>30237.66</v>
      </c>
      <c r="EF10" s="14">
        <f>71166.3+8556</f>
        <v>79722.3</v>
      </c>
      <c r="EG10" s="14">
        <f>72036.52</f>
        <v>72036.52</v>
      </c>
      <c r="EH10" s="14">
        <f>45096.06</f>
        <v>45096.06</v>
      </c>
      <c r="EI10" s="14">
        <f>79894.01</f>
        <v>79894.009999999995</v>
      </c>
      <c r="EJ10" s="14">
        <f>57728.09</f>
        <v>57728.09</v>
      </c>
      <c r="EK10" s="14">
        <f>20236.23</f>
        <v>20236.23</v>
      </c>
      <c r="EL10" s="14">
        <f>51581.97</f>
        <v>51581.97</v>
      </c>
      <c r="EM10" s="14">
        <f>56981.89</f>
        <v>56981.89</v>
      </c>
      <c r="EN10" s="14">
        <f>33247.4</f>
        <v>33247.4</v>
      </c>
      <c r="EO10" s="55" t="s">
        <v>8</v>
      </c>
      <c r="EP10" s="12" t="s">
        <v>9</v>
      </c>
      <c r="EQ10" s="24">
        <f>SUM(ES10:FB10)</f>
        <v>646903.60000000009</v>
      </c>
      <c r="ER10" s="14">
        <v>0</v>
      </c>
      <c r="ES10" s="14">
        <f>35195.41+34413.41+34413.41+33562.9</f>
        <v>137585.13</v>
      </c>
      <c r="ET10" s="14">
        <f>304+2700+1800+1150+608+2736+2736+77301.32</f>
        <v>89335.32</v>
      </c>
      <c r="EU10" s="14">
        <f>74147.08</f>
        <v>74147.08</v>
      </c>
      <c r="EV10" s="14">
        <f>48739.85</f>
        <v>48739.85</v>
      </c>
      <c r="EW10" s="14">
        <f>78664.21</f>
        <v>78664.210000000006</v>
      </c>
      <c r="EX10" s="14">
        <f>55692.73</f>
        <v>55692.73</v>
      </c>
      <c r="EY10" s="14">
        <f>20871.92</f>
        <v>20871.919999999998</v>
      </c>
      <c r="EZ10" s="14">
        <f>42401.93</f>
        <v>42401.93</v>
      </c>
      <c r="FA10" s="14">
        <f>66418.49</f>
        <v>66418.490000000005</v>
      </c>
      <c r="FB10" s="14">
        <f>33046.94</f>
        <v>33046.94</v>
      </c>
    </row>
    <row r="11" spans="1:158" s="4" customFormat="1" ht="12" customHeight="1" x14ac:dyDescent="0.2">
      <c r="A11" s="56" t="s">
        <v>10</v>
      </c>
      <c r="B11" s="12" t="s">
        <v>11</v>
      </c>
      <c r="C11" s="24">
        <f>SUM(E11:N11)</f>
        <v>546017.10175000003</v>
      </c>
      <c r="D11" s="23"/>
      <c r="E11" s="23">
        <f t="shared" ref="E11:E13" si="1">S11+Y11+AE11+AK11+AY11+BM11+CA11+CO11+DC11+DQ11+EE11+ES11</f>
        <v>36522.159999999996</v>
      </c>
      <c r="F11" s="23">
        <f t="shared" ref="F11:F13" si="2">T11+Z11+AF11+AL11+AZ11+BN11+CB11+CP11+DD11+DR11+EF11+ET11</f>
        <v>267349.46000000002</v>
      </c>
      <c r="G11" s="23">
        <f t="shared" ref="G11:G13" si="3">AM11+BA11+BO11+CC11+CQ11+DE11+DS11+EG11+EU11</f>
        <v>48979.33</v>
      </c>
      <c r="H11" s="23">
        <f t="shared" si="0"/>
        <v>32246.13</v>
      </c>
      <c r="I11" s="23">
        <f t="shared" si="0"/>
        <v>48995.87</v>
      </c>
      <c r="J11" s="23">
        <f t="shared" si="0"/>
        <v>29540.300000000003</v>
      </c>
      <c r="K11" s="23">
        <f t="shared" si="0"/>
        <v>10314.03175</v>
      </c>
      <c r="L11" s="23">
        <f t="shared" si="0"/>
        <v>23584.48</v>
      </c>
      <c r="M11" s="23">
        <f t="shared" si="0"/>
        <v>39210.380000000012</v>
      </c>
      <c r="N11" s="23">
        <f t="shared" si="0"/>
        <v>9274.9599999999991</v>
      </c>
      <c r="O11" s="56" t="s">
        <v>10</v>
      </c>
      <c r="P11" s="12" t="s">
        <v>12</v>
      </c>
      <c r="Q11" s="24">
        <f>SUM(S11:T11)</f>
        <v>33550.009999999995</v>
      </c>
      <c r="R11" s="14">
        <v>0</v>
      </c>
      <c r="S11" s="14">
        <f>5000+525</f>
        <v>5525</v>
      </c>
      <c r="T11" s="14">
        <f>16060.8+175+11789.21</f>
        <v>28025.01</v>
      </c>
      <c r="U11" s="56" t="s">
        <v>10</v>
      </c>
      <c r="V11" s="12" t="s">
        <v>12</v>
      </c>
      <c r="W11" s="24">
        <f>SUM(Y11:Z11)</f>
        <v>18472.93</v>
      </c>
      <c r="X11" s="14">
        <v>0</v>
      </c>
      <c r="Y11" s="14">
        <f>525</f>
        <v>525</v>
      </c>
      <c r="Z11" s="14">
        <f>17772.93+175</f>
        <v>17947.93</v>
      </c>
      <c r="AA11" s="56" t="s">
        <v>10</v>
      </c>
      <c r="AB11" s="12" t="s">
        <v>12</v>
      </c>
      <c r="AC11" s="24">
        <f>SUM(AE11:AF11)</f>
        <v>33174.550000000003</v>
      </c>
      <c r="AD11" s="14">
        <v>0</v>
      </c>
      <c r="AE11" s="14">
        <f>525+525</f>
        <v>1050</v>
      </c>
      <c r="AF11" s="14">
        <f>18305.34+560+560+175+11789.21+560+175</f>
        <v>32124.55</v>
      </c>
      <c r="AG11" s="56" t="s">
        <v>10</v>
      </c>
      <c r="AH11" s="12" t="s">
        <v>12</v>
      </c>
      <c r="AI11" s="24">
        <f>SUM(AK11:AT11)</f>
        <v>29693.08</v>
      </c>
      <c r="AJ11" s="14">
        <v>0</v>
      </c>
      <c r="AK11" s="14">
        <f>907.75+907.75</f>
        <v>1815.5</v>
      </c>
      <c r="AL11" s="14">
        <f>15587.77+560+11729.81</f>
        <v>27877.58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56" t="s">
        <v>10</v>
      </c>
      <c r="AV11" s="12" t="s">
        <v>12</v>
      </c>
      <c r="AW11" s="24">
        <f>SUM(AY11:BH11)</f>
        <v>35525.909999999996</v>
      </c>
      <c r="AX11" s="14">
        <v>0</v>
      </c>
      <c r="AY11" s="14">
        <v>1433</v>
      </c>
      <c r="AZ11" s="14">
        <f>14353.09+1839.61+175+11789.21</f>
        <v>28156.91</v>
      </c>
      <c r="BA11" s="14">
        <v>525</v>
      </c>
      <c r="BB11" s="14">
        <v>350</v>
      </c>
      <c r="BC11" s="14">
        <v>525</v>
      </c>
      <c r="BD11" s="14">
        <f>936.27+525</f>
        <v>1461.27</v>
      </c>
      <c r="BE11" s="14">
        <f>339.92+175</f>
        <v>514.92000000000007</v>
      </c>
      <c r="BF11" s="14">
        <f>700.57+350</f>
        <v>1050.5700000000002</v>
      </c>
      <c r="BG11" s="14">
        <f>984.24+525</f>
        <v>1509.24</v>
      </c>
      <c r="BH11" s="14">
        <v>0</v>
      </c>
      <c r="BI11" s="56" t="s">
        <v>10</v>
      </c>
      <c r="BJ11" s="12" t="s">
        <v>12</v>
      </c>
      <c r="BK11" s="24">
        <f>SUM(BM11:BV11)</f>
        <v>66695.67</v>
      </c>
      <c r="BL11" s="14">
        <v>0</v>
      </c>
      <c r="BM11" s="14">
        <v>1432.75</v>
      </c>
      <c r="BN11" s="14">
        <v>32161.61</v>
      </c>
      <c r="BO11" s="14">
        <v>5865</v>
      </c>
      <c r="BP11" s="14">
        <v>5690</v>
      </c>
      <c r="BQ11" s="14">
        <v>4085.93</v>
      </c>
      <c r="BR11" s="14">
        <v>4665.2700000000004</v>
      </c>
      <c r="BS11" s="14">
        <v>1582.92</v>
      </c>
      <c r="BT11" s="14">
        <v>3186.57</v>
      </c>
      <c r="BU11" s="14">
        <v>6957.62</v>
      </c>
      <c r="BV11" s="14">
        <v>1068</v>
      </c>
      <c r="BW11" s="56" t="s">
        <v>10</v>
      </c>
      <c r="BX11" s="12" t="s">
        <v>12</v>
      </c>
      <c r="BY11" s="24">
        <f>SUM(CA11:CJ11)</f>
        <v>24663.350000000002</v>
      </c>
      <c r="BZ11" s="14">
        <v>0</v>
      </c>
      <c r="CA11" s="14">
        <f>907.75+525</f>
        <v>1432.75</v>
      </c>
      <c r="CB11" s="14">
        <f>11789.21+1710.45+175</f>
        <v>13674.66</v>
      </c>
      <c r="CC11" s="14">
        <f>525</f>
        <v>525</v>
      </c>
      <c r="CD11" s="14">
        <f>350+2505</f>
        <v>2855</v>
      </c>
      <c r="CE11" s="14">
        <f>1114.94+525</f>
        <v>1639.94</v>
      </c>
      <c r="CF11" s="14">
        <f>936.27+525</f>
        <v>1461.27</v>
      </c>
      <c r="CG11" s="14">
        <f>339.92+175</f>
        <v>514.92000000000007</v>
      </c>
      <c r="CH11" s="14">
        <f>700.57+350</f>
        <v>1050.5700000000002</v>
      </c>
      <c r="CI11" s="14">
        <f>984.24+525</f>
        <v>1509.24</v>
      </c>
      <c r="CJ11" s="14">
        <v>0</v>
      </c>
      <c r="CK11" s="56" t="s">
        <v>10</v>
      </c>
      <c r="CL11" s="12" t="s">
        <v>12</v>
      </c>
      <c r="CM11" s="24">
        <f>SUM(CO11:CX11)</f>
        <v>64638.289999999994</v>
      </c>
      <c r="CN11" s="14">
        <v>0</v>
      </c>
      <c r="CO11" s="14">
        <f>5000+6239.95+1247.99+525</f>
        <v>13012.94</v>
      </c>
      <c r="CP11" s="14">
        <f>8772.14+11789.21+1710.45+1827+175</f>
        <v>24273.8</v>
      </c>
      <c r="CQ11" s="14">
        <f>1827+525</f>
        <v>2352</v>
      </c>
      <c r="CR11" s="14">
        <f>1827+350+3200.45</f>
        <v>5377.45</v>
      </c>
      <c r="CS11" s="14">
        <f>1827+6239.95+1114.94+525</f>
        <v>9706.89</v>
      </c>
      <c r="CT11" s="14">
        <f>1827+525</f>
        <v>2352</v>
      </c>
      <c r="CU11" s="14">
        <f>175</f>
        <v>175</v>
      </c>
      <c r="CV11" s="14">
        <f>1827+350</f>
        <v>2177</v>
      </c>
      <c r="CW11" s="14">
        <f>1032.21+1827+525</f>
        <v>3384.21</v>
      </c>
      <c r="CX11" s="14">
        <f>1827</f>
        <v>1827</v>
      </c>
      <c r="CY11" s="56" t="s">
        <v>10</v>
      </c>
      <c r="CZ11" s="12" t="s">
        <v>12</v>
      </c>
      <c r="DA11" s="24">
        <f>SUM(DC11:DL11)</f>
        <v>48556.939999999995</v>
      </c>
      <c r="DB11" s="14">
        <v>0</v>
      </c>
      <c r="DC11" s="14">
        <f>525</f>
        <v>525</v>
      </c>
      <c r="DD11" s="14">
        <f>175+11789.21+8669.8+1713.34+1218+11789.21</f>
        <v>35354.559999999998</v>
      </c>
      <c r="DE11" s="14">
        <f>525+1218</f>
        <v>1743</v>
      </c>
      <c r="DF11" s="14">
        <f>350+1218</f>
        <v>1568</v>
      </c>
      <c r="DG11" s="14">
        <f>525+1218</f>
        <v>1743</v>
      </c>
      <c r="DH11" s="14">
        <f>525+1218</f>
        <v>1743</v>
      </c>
      <c r="DI11" s="14">
        <f>175</f>
        <v>175</v>
      </c>
      <c r="DJ11" s="14">
        <f>350+1218</f>
        <v>1568</v>
      </c>
      <c r="DK11" s="14">
        <f>525+1176.38+1218</f>
        <v>2919.38</v>
      </c>
      <c r="DL11" s="14">
        <f>1218</f>
        <v>1218</v>
      </c>
      <c r="DM11" s="56" t="s">
        <v>10</v>
      </c>
      <c r="DN11" s="12" t="s">
        <v>12</v>
      </c>
      <c r="DO11" s="24">
        <f>SUM(DQ11:DZ11)</f>
        <v>62296.42</v>
      </c>
      <c r="DP11" s="14">
        <v>0</v>
      </c>
      <c r="DQ11" s="14">
        <f>907.75+1247.99+262.5+907.75+907.75</f>
        <v>4233.74</v>
      </c>
      <c r="DR11" s="14">
        <f>9354.98+1742.24+87.5+609+10139.41</f>
        <v>21933.129999999997</v>
      </c>
      <c r="DS11" s="14">
        <f>262.5+609+11789.21</f>
        <v>12660.71</v>
      </c>
      <c r="DT11" s="14">
        <f>175+640.09+609</f>
        <v>1424.0900000000001</v>
      </c>
      <c r="DU11" s="14">
        <f>1247.99+262.5+2229.88+609</f>
        <v>4349.37</v>
      </c>
      <c r="DV11" s="14">
        <f>936.27+1423.5+175+609+936.27+936.27</f>
        <v>5016.3099999999995</v>
      </c>
      <c r="DW11" s="14">
        <f>339.92+515.6+87.5+339.92+339.92</f>
        <v>1622.8600000000001</v>
      </c>
      <c r="DX11" s="14">
        <f>700.57+1064.6+175+609+700.57+700.57</f>
        <v>3950.3100000000004</v>
      </c>
      <c r="DY11" s="14">
        <f>984.24+1496.3+1176.38+262.5+609+984.24+984.24</f>
        <v>6496.9</v>
      </c>
      <c r="DZ11" s="14">
        <f>609</f>
        <v>609</v>
      </c>
      <c r="EA11" s="56" t="s">
        <v>10</v>
      </c>
      <c r="EB11" s="12" t="s">
        <v>12</v>
      </c>
      <c r="EC11" s="24">
        <f>SUM(EE11:EN11)</f>
        <v>93783.23000000001</v>
      </c>
      <c r="ED11" s="14">
        <v>0</v>
      </c>
      <c r="EE11" s="14">
        <f>907.75+1247.99+525+175</f>
        <v>2855.74</v>
      </c>
      <c r="EF11" s="14">
        <f>1771.14+175+175+609+546</f>
        <v>3276.1400000000003</v>
      </c>
      <c r="EG11" s="14">
        <f>300*6+5946.31+525+175+609+2730+11789.31</f>
        <v>23574.620000000003</v>
      </c>
      <c r="EH11" s="14">
        <f>2505+300*6+3973.41+640.09+350+175+609+2730</f>
        <v>12782.5</v>
      </c>
      <c r="EI11" s="14">
        <f>300*6+6431.82+1247.99+525+175+609+546</f>
        <v>11334.81</v>
      </c>
      <c r="EJ11" s="14">
        <f>300*6+4837.64+936.27+350+175+609+1638</f>
        <v>10345.91</v>
      </c>
      <c r="EK11" s="14">
        <f>300*6+1752.57+339.92+175+175+546</f>
        <v>4788.49</v>
      </c>
      <c r="EL11" s="14">
        <f>300*6+3615.32+700.57+350+175+609+1092</f>
        <v>8341.89</v>
      </c>
      <c r="EM11" s="14">
        <f>300*6+5085.55+984.24+525+175+1176.38+609+2184</f>
        <v>12539.170000000002</v>
      </c>
      <c r="EN11" s="14">
        <f>2788.96+609+546</f>
        <v>3943.96</v>
      </c>
      <c r="EO11" s="56" t="s">
        <v>10</v>
      </c>
      <c r="EP11" s="12" t="s">
        <v>12</v>
      </c>
      <c r="EQ11" s="24">
        <f>SUM(ES11:FB11)</f>
        <v>34966.721750000004</v>
      </c>
      <c r="ER11" s="14">
        <v>0</v>
      </c>
      <c r="ES11" s="14">
        <f>1247.99+907.75+525</f>
        <v>2680.74</v>
      </c>
      <c r="ET11" s="14">
        <f>1759.58+175+609</f>
        <v>2543.58</v>
      </c>
      <c r="EU11" s="14">
        <f>300+300+525+609</f>
        <v>1734</v>
      </c>
      <c r="EV11" s="14">
        <f>300+640.09+300+350+609</f>
        <v>2199.09</v>
      </c>
      <c r="EW11" s="14">
        <f>1114+1114.94+1247.99+300+300+10400+525+609</f>
        <v>15610.93</v>
      </c>
      <c r="EX11" s="14">
        <f>300+300+936.27+350+609</f>
        <v>2495.27</v>
      </c>
      <c r="EY11" s="14">
        <f>300+300+339.92175</f>
        <v>939.92174999999997</v>
      </c>
      <c r="EZ11" s="14">
        <f>300+300+700.57+350+609</f>
        <v>2259.5700000000002</v>
      </c>
      <c r="FA11" s="14">
        <f>1176.38+300+300+984.24+525+609</f>
        <v>3894.62</v>
      </c>
      <c r="FB11" s="14">
        <f>609</f>
        <v>609</v>
      </c>
    </row>
    <row r="12" spans="1:158" s="4" customFormat="1" ht="12" x14ac:dyDescent="0.2">
      <c r="A12" s="56" t="s">
        <v>13</v>
      </c>
      <c r="B12" s="12" t="s">
        <v>14</v>
      </c>
      <c r="C12" s="24">
        <f>SUM(E12:N12)</f>
        <v>2395103.9900000002</v>
      </c>
      <c r="D12" s="23"/>
      <c r="E12" s="23">
        <f t="shared" si="1"/>
        <v>1003427.7399999999</v>
      </c>
      <c r="F12" s="23">
        <f t="shared" si="2"/>
        <v>929418.06</v>
      </c>
      <c r="G12" s="23">
        <f t="shared" si="3"/>
        <v>79818.61</v>
      </c>
      <c r="H12" s="23">
        <f t="shared" si="0"/>
        <v>94052.68</v>
      </c>
      <c r="I12" s="23">
        <f t="shared" si="0"/>
        <v>71155.14</v>
      </c>
      <c r="J12" s="23">
        <f t="shared" si="0"/>
        <v>58459.94</v>
      </c>
      <c r="K12" s="23">
        <f t="shared" si="0"/>
        <v>22666.449999999997</v>
      </c>
      <c r="L12" s="23">
        <f t="shared" si="0"/>
        <v>46704.85</v>
      </c>
      <c r="M12" s="23">
        <f t="shared" si="0"/>
        <v>61486.450000000004</v>
      </c>
      <c r="N12" s="23">
        <f t="shared" si="0"/>
        <v>27914.07</v>
      </c>
      <c r="O12" s="56" t="s">
        <v>13</v>
      </c>
      <c r="P12" s="12" t="s">
        <v>14</v>
      </c>
      <c r="Q12" s="24">
        <f>SUM(S12:T12)</f>
        <v>293534.51999999996</v>
      </c>
      <c r="R12" s="14">
        <v>0</v>
      </c>
      <c r="S12" s="14">
        <f>19800+1536.65+735.08+1658.9+3467.84+5665.59+1225.58+4688+1578+3924.3</f>
        <v>44279.94000000001</v>
      </c>
      <c r="T12" s="14">
        <f>70618.69+97336.62+5997.35+564.9+10512.99+727.61+63496.42</f>
        <v>249254.57999999996</v>
      </c>
      <c r="U12" s="56" t="s">
        <v>13</v>
      </c>
      <c r="V12" s="12" t="s">
        <v>14</v>
      </c>
      <c r="W12" s="24">
        <f>SUM(Y12:Z12)</f>
        <v>322799.43999999994</v>
      </c>
      <c r="X12" s="14">
        <v>0</v>
      </c>
      <c r="Y12" s="14">
        <f>9890.76+6765.77+4875.16+1019.12+5891.78+560.24+1790.26+3236.5+1792.22+3746.55+300</f>
        <v>39868.36</v>
      </c>
      <c r="Z12" s="14">
        <f>57695.33+135190.25+10915.47+469.74+70848.55+6226.97+258.22+1326.55</f>
        <v>282931.07999999996</v>
      </c>
      <c r="AA12" s="56" t="s">
        <v>13</v>
      </c>
      <c r="AB12" s="12" t="s">
        <v>14</v>
      </c>
      <c r="AC12" s="24">
        <f>SUM(AE12:AF12)</f>
        <v>355144.42000000004</v>
      </c>
      <c r="AD12" s="14">
        <v>0</v>
      </c>
      <c r="AE12" s="14">
        <f>2107.58+6528.77+1991.44+5402.23+3709.72+1350+1774.52+1387.14+2899.76+9004.7+6834.5+117212.35+15316.2+8642.74+6559.78</f>
        <v>190721.43000000002</v>
      </c>
      <c r="AF12" s="14">
        <f>690.04+6375.38+1755.65+11175.67+68.09+72232.38+71778.18+347.6</f>
        <v>164422.99000000002</v>
      </c>
      <c r="AG12" s="56" t="s">
        <v>13</v>
      </c>
      <c r="AH12" s="12" t="s">
        <v>14</v>
      </c>
      <c r="AI12" s="24">
        <f>SUM(AK12:AT12)</f>
        <v>480184.48</v>
      </c>
      <c r="AJ12" s="14">
        <v>0</v>
      </c>
      <c r="AK12" s="14">
        <f>119729.3+8642.74+6559.78+100341.88+5705+2728+1774+3708+6430.43+5346.32+10357.12</f>
        <v>271322.57</v>
      </c>
      <c r="AL12" s="14">
        <f>92365+50969+26.76+843.18+6390.44+11250.16+45917.37</f>
        <v>207761.91</v>
      </c>
      <c r="AM12" s="14">
        <v>0</v>
      </c>
      <c r="AN12" s="14">
        <v>0</v>
      </c>
      <c r="AO12" s="14">
        <v>0</v>
      </c>
      <c r="AP12" s="14">
        <v>450</v>
      </c>
      <c r="AQ12" s="14">
        <v>650</v>
      </c>
      <c r="AR12" s="14">
        <v>0</v>
      </c>
      <c r="AS12" s="14">
        <v>0</v>
      </c>
      <c r="AT12" s="14">
        <v>0</v>
      </c>
      <c r="AU12" s="56" t="s">
        <v>13</v>
      </c>
      <c r="AV12" s="12" t="s">
        <v>14</v>
      </c>
      <c r="AW12" s="24">
        <f>SUM(AY12:BH12)</f>
        <v>68189.320000000007</v>
      </c>
      <c r="AX12" s="14">
        <v>0</v>
      </c>
      <c r="AY12" s="14">
        <f>10493.64+6078.73+610.25</f>
        <v>17182.62</v>
      </c>
      <c r="AZ12" s="14">
        <f>2797.29+1210.57</f>
        <v>4007.8599999999997</v>
      </c>
      <c r="BA12" s="14">
        <f>7751.72+138.96</f>
        <v>7890.68</v>
      </c>
      <c r="BB12" s="14">
        <v>5180.37</v>
      </c>
      <c r="BC12" s="14">
        <f>8402.63</f>
        <v>8402.6299999999992</v>
      </c>
      <c r="BD12" s="14">
        <f>6310.04+300</f>
        <v>6610.04</v>
      </c>
      <c r="BE12" s="14">
        <f>2286.25+100</f>
        <v>2386.25</v>
      </c>
      <c r="BF12" s="14">
        <f>450+4723.12+200</f>
        <v>5373.12</v>
      </c>
      <c r="BG12" s="14">
        <f>6632.8</f>
        <v>6632.8</v>
      </c>
      <c r="BH12" s="14">
        <f>3631.1+891.85</f>
        <v>4522.95</v>
      </c>
      <c r="BI12" s="56" t="s">
        <v>13</v>
      </c>
      <c r="BJ12" s="12" t="s">
        <v>14</v>
      </c>
      <c r="BK12" s="24">
        <f>SUM(BM12:BV12)</f>
        <v>28875.189999999995</v>
      </c>
      <c r="BL12" s="14">
        <v>0</v>
      </c>
      <c r="BM12" s="14">
        <f>69.53+18418.92+619.21+621.78</f>
        <v>19729.439999999995</v>
      </c>
      <c r="BN12" s="14">
        <f>6.53+286.27</f>
        <v>292.79999999999995</v>
      </c>
      <c r="BO12" s="14">
        <f>792.62</f>
        <v>792.62</v>
      </c>
      <c r="BP12" s="14">
        <f>529.95</f>
        <v>529.95000000000005</v>
      </c>
      <c r="BQ12" s="14">
        <f>859.31</f>
        <v>859.31</v>
      </c>
      <c r="BR12" s="14">
        <f>113.96+645.38</f>
        <v>759.34</v>
      </c>
      <c r="BS12" s="14">
        <f>504.72+233.94</f>
        <v>738.66000000000008</v>
      </c>
      <c r="BT12" s="14">
        <f>1200+482.75</f>
        <v>1682.75</v>
      </c>
      <c r="BU12" s="14">
        <f>1250+1050+300+678.21</f>
        <v>3278.21</v>
      </c>
      <c r="BV12" s="14">
        <f>212.11</f>
        <v>212.11</v>
      </c>
      <c r="BW12" s="56" t="s">
        <v>13</v>
      </c>
      <c r="BX12" s="12" t="s">
        <v>14</v>
      </c>
      <c r="BY12" s="24">
        <f>SUM(CA12:CJ12)</f>
        <v>76149.48</v>
      </c>
      <c r="BZ12" s="14">
        <v>0</v>
      </c>
      <c r="CA12" s="14">
        <f>52916.68+2781.63+2261.2+669.37+30</f>
        <v>58658.879999999997</v>
      </c>
      <c r="CB12" s="14">
        <f>1041.05+93</f>
        <v>1134.05</v>
      </c>
      <c r="CC12" s="14">
        <v>2882.48</v>
      </c>
      <c r="CD12" s="14">
        <v>1927.25</v>
      </c>
      <c r="CE12" s="14">
        <f>3125.01</f>
        <v>3125.01</v>
      </c>
      <c r="CF12" s="14">
        <f>300+2347.03+2</f>
        <v>2649.03</v>
      </c>
      <c r="CG12" s="14">
        <f>850.75+100</f>
        <v>950.75</v>
      </c>
      <c r="CH12" s="14">
        <f>1755.6+500</f>
        <v>2255.6</v>
      </c>
      <c r="CI12" s="14">
        <f>2466.43</f>
        <v>2466.4299999999998</v>
      </c>
      <c r="CJ12" s="14">
        <f>100</f>
        <v>100</v>
      </c>
      <c r="CK12" s="56" t="s">
        <v>13</v>
      </c>
      <c r="CL12" s="12" t="s">
        <v>14</v>
      </c>
      <c r="CM12" s="24">
        <f>SUM(CO12:CX12)</f>
        <v>22341.160000000003</v>
      </c>
      <c r="CN12" s="14">
        <v>0</v>
      </c>
      <c r="CO12" s="14">
        <f>1341.12+1275.94+675.03+2083.1</f>
        <v>5375.1900000000005</v>
      </c>
      <c r="CP12" s="14">
        <f>959.05</f>
        <v>959.05</v>
      </c>
      <c r="CQ12" s="14">
        <f>8.62+2655.44</f>
        <v>2664.06</v>
      </c>
      <c r="CR12" s="14">
        <f>450+1775.45</f>
        <v>2225.4499999999998</v>
      </c>
      <c r="CS12" s="14">
        <f>2878.88</f>
        <v>2878.88</v>
      </c>
      <c r="CT12" s="14">
        <f>303.12+2162.17</f>
        <v>2465.29</v>
      </c>
      <c r="CU12" s="14">
        <f>200+783.74</f>
        <v>983.74</v>
      </c>
      <c r="CV12" s="14">
        <f>500+400+1617.33</f>
        <v>2517.33</v>
      </c>
      <c r="CW12" s="14">
        <f>2272.17</f>
        <v>2272.17</v>
      </c>
      <c r="CX12" s="14"/>
      <c r="CY12" s="56" t="s">
        <v>13</v>
      </c>
      <c r="CZ12" s="12" t="s">
        <v>14</v>
      </c>
      <c r="DA12" s="24">
        <f>SUM(DC12:DL12)</f>
        <v>27876.59</v>
      </c>
      <c r="DB12" s="14">
        <v>0</v>
      </c>
      <c r="DC12" s="14">
        <f>1164.67+2365.88+900+714.05</f>
        <v>5144.6000000000004</v>
      </c>
      <c r="DD12" s="14">
        <f>1089.24-4.27</f>
        <v>1084.97</v>
      </c>
      <c r="DE12" s="14">
        <f>3015.91+300</f>
        <v>3315.91</v>
      </c>
      <c r="DF12" s="14">
        <f>600+600+2016.46+681.57</f>
        <v>3898.03</v>
      </c>
      <c r="DG12" s="14">
        <f>300+3269.67+150</f>
        <v>3719.67</v>
      </c>
      <c r="DH12" s="14">
        <f>2455.67+300.14</f>
        <v>2755.81</v>
      </c>
      <c r="DI12" s="14">
        <f>890.13+300</f>
        <v>1190.1300000000001</v>
      </c>
      <c r="DJ12" s="14">
        <f>450+1836.87</f>
        <v>2286.87</v>
      </c>
      <c r="DK12" s="14">
        <f>2580.6+250</f>
        <v>2830.6</v>
      </c>
      <c r="DL12" s="14">
        <f>1650</f>
        <v>1650</v>
      </c>
      <c r="DM12" s="56" t="s">
        <v>13</v>
      </c>
      <c r="DN12" s="12" t="s">
        <v>14</v>
      </c>
      <c r="DO12" s="24">
        <f>SUM(DQ12:DZ12)</f>
        <v>146304.35999999996</v>
      </c>
      <c r="DP12" s="14">
        <v>0</v>
      </c>
      <c r="DQ12" s="14">
        <f>1106.87+2273.71+289.36+722.41+1389.02+67934.25</f>
        <v>73715.62</v>
      </c>
      <c r="DR12" s="14">
        <f>1046.81+133.16+639.2</f>
        <v>1819.17</v>
      </c>
      <c r="DS12" s="14">
        <f>2898.42+368.99+1771.31+64.52</f>
        <v>5103.24</v>
      </c>
      <c r="DT12" s="14">
        <f>1937.9+246.59+1183.74+35102.84</f>
        <v>38471.07</v>
      </c>
      <c r="DU12" s="14">
        <f>3142.29+399.98+1920.04</f>
        <v>5462.3099999999995</v>
      </c>
      <c r="DV12" s="14">
        <f>2360+300.37+1441.88+4089.02+150</f>
        <v>8341.27</v>
      </c>
      <c r="DW12" s="14">
        <f>855.45+108.83+522.42+1271.57</f>
        <v>2758.27</v>
      </c>
      <c r="DX12" s="14">
        <f>1765.31+224.83+1079.26+1200</f>
        <v>4269.3999999999996</v>
      </c>
      <c r="DY12" s="14">
        <f>2480.07+315.73+1515.63+150</f>
        <v>4461.43</v>
      </c>
      <c r="DZ12" s="14">
        <f>172.85+829.72+900.01</f>
        <v>1902.58</v>
      </c>
      <c r="EA12" s="56" t="s">
        <v>13</v>
      </c>
      <c r="EB12" s="12" t="s">
        <v>14</v>
      </c>
      <c r="EC12" s="24">
        <f>SUM(EE12:EN12)</f>
        <v>139523.89000000001</v>
      </c>
      <c r="ED12" s="14">
        <v>0</v>
      </c>
      <c r="EE12" s="14">
        <f>10360.49</f>
        <v>10360.49</v>
      </c>
      <c r="EF12" s="14"/>
      <c r="EG12" s="14">
        <f>600+17732.58+2771.68</f>
        <v>21104.260000000002</v>
      </c>
      <c r="EH12" s="14">
        <f>1205.08+11849.1+1852.07</f>
        <v>14906.25</v>
      </c>
      <c r="EI12" s="14">
        <f>750+19180.35+2997.97</f>
        <v>22928.32</v>
      </c>
      <c r="EJ12" s="14">
        <f>424.19+14426.33+2254.9</f>
        <v>17105.420000000002</v>
      </c>
      <c r="EK12" s="14">
        <f>232.79+5526.34+816.9</f>
        <v>6576.03</v>
      </c>
      <c r="EL12" s="14">
        <f>2816.37+10781.24+1685.16</f>
        <v>15282.77</v>
      </c>
      <c r="EM12" s="14">
        <f>3357.34+15165.62+2370.45</f>
        <v>20893.41</v>
      </c>
      <c r="EN12" s="14">
        <f>750+8316.96+1299.98</f>
        <v>10366.939999999999</v>
      </c>
      <c r="EO12" s="56" t="s">
        <v>13</v>
      </c>
      <c r="EP12" s="12" t="s">
        <v>14</v>
      </c>
      <c r="EQ12" s="24">
        <f>SUM(ES12:FB12)</f>
        <v>434181.13999999996</v>
      </c>
      <c r="ER12" s="14">
        <v>0</v>
      </c>
      <c r="ES12" s="14">
        <f>64340.96+81265.34+112902.42+4936.17+838.91+154.9+2629.9</f>
        <v>267068.59999999998</v>
      </c>
      <c r="ET12" s="14">
        <f>14467.53+71.28+1210.79</f>
        <v>15749.600000000002</v>
      </c>
      <c r="EU12" s="14">
        <f>17732.58+14173.2+600+9.58+197.53+3352.47</f>
        <v>36065.360000000001</v>
      </c>
      <c r="EV12" s="14">
        <f>11849.1+11789.21+902.51+132+2241.49</f>
        <v>26914.309999999998</v>
      </c>
      <c r="EW12" s="14">
        <f>19180.35+750+214.11+3634.55</f>
        <v>23779.01</v>
      </c>
      <c r="EX12" s="14">
        <f>14426.33+6.91+160.79+2729.71</f>
        <v>17323.740000000002</v>
      </c>
      <c r="EY12" s="14">
        <f>5226.34+158.55+58.26+989.47</f>
        <v>6432.6200000000008</v>
      </c>
      <c r="EZ12" s="14">
        <f>10781.24+93.56+120.35+2041.86</f>
        <v>13037.01</v>
      </c>
      <c r="FA12" s="14">
        <f>15165.62+448.18+169.01+2868.59</f>
        <v>18651.400000000001</v>
      </c>
      <c r="FB12" s="14">
        <f>8316.96+750+92.53</f>
        <v>9159.49</v>
      </c>
    </row>
    <row r="13" spans="1:158" s="4" customFormat="1" ht="12" customHeight="1" x14ac:dyDescent="0.2">
      <c r="A13" s="56" t="s">
        <v>15</v>
      </c>
      <c r="B13" s="12" t="s">
        <v>16</v>
      </c>
      <c r="C13" s="24">
        <f>SUM(E13:N13)</f>
        <v>0</v>
      </c>
      <c r="D13" s="23"/>
      <c r="E13" s="23">
        <f t="shared" si="1"/>
        <v>0</v>
      </c>
      <c r="F13" s="23">
        <f t="shared" si="2"/>
        <v>0</v>
      </c>
      <c r="G13" s="23">
        <f t="shared" si="3"/>
        <v>0</v>
      </c>
      <c r="H13" s="23">
        <f t="shared" si="0"/>
        <v>0</v>
      </c>
      <c r="I13" s="23">
        <f t="shared" si="0"/>
        <v>0</v>
      </c>
      <c r="J13" s="23">
        <f t="shared" si="0"/>
        <v>0</v>
      </c>
      <c r="K13" s="23">
        <f t="shared" si="0"/>
        <v>0</v>
      </c>
      <c r="L13" s="23">
        <f t="shared" si="0"/>
        <v>0</v>
      </c>
      <c r="M13" s="23">
        <f t="shared" si="0"/>
        <v>0</v>
      </c>
      <c r="N13" s="23">
        <f t="shared" si="0"/>
        <v>0</v>
      </c>
      <c r="O13" s="56" t="s">
        <v>15</v>
      </c>
      <c r="P13" s="12" t="s">
        <v>16</v>
      </c>
      <c r="Q13" s="24"/>
      <c r="R13" s="14"/>
      <c r="S13" s="14">
        <v>0</v>
      </c>
      <c r="T13" s="14">
        <v>0</v>
      </c>
      <c r="U13" s="56" t="s">
        <v>15</v>
      </c>
      <c r="V13" s="12" t="s">
        <v>16</v>
      </c>
      <c r="W13" s="24"/>
      <c r="X13" s="14"/>
      <c r="Y13" s="14">
        <v>0</v>
      </c>
      <c r="Z13" s="14">
        <v>0</v>
      </c>
      <c r="AA13" s="56" t="s">
        <v>15</v>
      </c>
      <c r="AB13" s="12" t="s">
        <v>16</v>
      </c>
      <c r="AC13" s="24"/>
      <c r="AD13" s="14"/>
      <c r="AE13" s="14">
        <v>0</v>
      </c>
      <c r="AF13" s="14">
        <v>0</v>
      </c>
      <c r="AG13" s="56" t="s">
        <v>15</v>
      </c>
      <c r="AH13" s="12" t="s">
        <v>16</v>
      </c>
      <c r="AI13" s="24">
        <f>SUM(AK13:AT13)</f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0</v>
      </c>
      <c r="AT13" s="14">
        <v>0</v>
      </c>
      <c r="AU13" s="56" t="s">
        <v>15</v>
      </c>
      <c r="AV13" s="12" t="s">
        <v>16</v>
      </c>
      <c r="AW13" s="24">
        <f>SUM(AY13:BH13)</f>
        <v>0</v>
      </c>
      <c r="AX13" s="14">
        <v>0</v>
      </c>
      <c r="AY13" s="14">
        <v>0</v>
      </c>
      <c r="AZ13" s="14">
        <v>0</v>
      </c>
      <c r="BA13" s="14">
        <v>0</v>
      </c>
      <c r="BB13" s="14">
        <v>0</v>
      </c>
      <c r="BC13" s="14">
        <v>0</v>
      </c>
      <c r="BD13" s="14">
        <v>0</v>
      </c>
      <c r="BE13" s="14">
        <v>0</v>
      </c>
      <c r="BF13" s="14">
        <v>0</v>
      </c>
      <c r="BG13" s="14">
        <v>0</v>
      </c>
      <c r="BH13" s="14">
        <v>0</v>
      </c>
      <c r="BI13" s="56" t="s">
        <v>15</v>
      </c>
      <c r="BJ13" s="12" t="s">
        <v>16</v>
      </c>
      <c r="BK13" s="24">
        <f>SUM(BM13:BV13)</f>
        <v>0</v>
      </c>
      <c r="BL13" s="14">
        <v>0</v>
      </c>
      <c r="BM13" s="14">
        <v>0</v>
      </c>
      <c r="BN13" s="14">
        <v>0</v>
      </c>
      <c r="BO13" s="14">
        <v>0</v>
      </c>
      <c r="BP13" s="14">
        <v>0</v>
      </c>
      <c r="BQ13" s="14">
        <v>0</v>
      </c>
      <c r="BR13" s="14">
        <v>0</v>
      </c>
      <c r="BS13" s="14">
        <v>0</v>
      </c>
      <c r="BT13" s="14">
        <v>0</v>
      </c>
      <c r="BU13" s="14">
        <v>0</v>
      </c>
      <c r="BV13" s="14">
        <v>0</v>
      </c>
      <c r="BW13" s="56" t="s">
        <v>15</v>
      </c>
      <c r="BX13" s="12" t="s">
        <v>16</v>
      </c>
      <c r="BY13" s="24">
        <f>SUM(CA13:CJ13)</f>
        <v>0</v>
      </c>
      <c r="BZ13" s="14">
        <v>0</v>
      </c>
      <c r="CA13" s="14">
        <v>0</v>
      </c>
      <c r="CB13" s="14">
        <v>0</v>
      </c>
      <c r="CC13" s="14">
        <v>0</v>
      </c>
      <c r="CD13" s="14">
        <v>0</v>
      </c>
      <c r="CE13" s="14">
        <v>0</v>
      </c>
      <c r="CF13" s="14">
        <v>0</v>
      </c>
      <c r="CG13" s="14">
        <v>0</v>
      </c>
      <c r="CH13" s="14">
        <v>0</v>
      </c>
      <c r="CI13" s="14">
        <v>0</v>
      </c>
      <c r="CJ13" s="14">
        <v>0</v>
      </c>
      <c r="CK13" s="56" t="s">
        <v>15</v>
      </c>
      <c r="CL13" s="12" t="s">
        <v>16</v>
      </c>
      <c r="CM13" s="24">
        <f>SUM(CO13:CX13)</f>
        <v>0</v>
      </c>
      <c r="CN13" s="14">
        <v>0</v>
      </c>
      <c r="CO13" s="14">
        <v>0</v>
      </c>
      <c r="CP13" s="14">
        <v>0</v>
      </c>
      <c r="CQ13" s="14">
        <v>0</v>
      </c>
      <c r="CR13" s="14">
        <v>0</v>
      </c>
      <c r="CS13" s="14">
        <v>0</v>
      </c>
      <c r="CT13" s="14">
        <v>0</v>
      </c>
      <c r="CU13" s="14">
        <v>0</v>
      </c>
      <c r="CV13" s="14">
        <v>0</v>
      </c>
      <c r="CW13" s="14">
        <v>0</v>
      </c>
      <c r="CX13" s="14">
        <v>0</v>
      </c>
      <c r="CY13" s="56" t="s">
        <v>15</v>
      </c>
      <c r="CZ13" s="12" t="s">
        <v>16</v>
      </c>
      <c r="DA13" s="24">
        <f>SUM(DC13:DL13)</f>
        <v>0</v>
      </c>
      <c r="DB13" s="14">
        <v>0</v>
      </c>
      <c r="DC13" s="14">
        <v>0</v>
      </c>
      <c r="DD13" s="14">
        <v>0</v>
      </c>
      <c r="DE13" s="14">
        <v>0</v>
      </c>
      <c r="DF13" s="14">
        <v>0</v>
      </c>
      <c r="DG13" s="14">
        <v>0</v>
      </c>
      <c r="DH13" s="14">
        <v>0</v>
      </c>
      <c r="DI13" s="14">
        <v>0</v>
      </c>
      <c r="DJ13" s="14">
        <v>0</v>
      </c>
      <c r="DK13" s="14">
        <v>0</v>
      </c>
      <c r="DL13" s="14">
        <v>0</v>
      </c>
      <c r="DM13" s="56" t="s">
        <v>15</v>
      </c>
      <c r="DN13" s="12" t="s">
        <v>16</v>
      </c>
      <c r="DO13" s="24">
        <f>SUM(DQ13:DZ13)</f>
        <v>0</v>
      </c>
      <c r="DP13" s="14">
        <v>0</v>
      </c>
      <c r="DQ13" s="14">
        <v>0</v>
      </c>
      <c r="DR13" s="14">
        <v>0</v>
      </c>
      <c r="DS13" s="14">
        <v>0</v>
      </c>
      <c r="DT13" s="14">
        <v>0</v>
      </c>
      <c r="DU13" s="14">
        <v>0</v>
      </c>
      <c r="DV13" s="14">
        <v>0</v>
      </c>
      <c r="DW13" s="14">
        <v>0</v>
      </c>
      <c r="DX13" s="14">
        <v>0</v>
      </c>
      <c r="DY13" s="14">
        <v>0</v>
      </c>
      <c r="DZ13" s="14">
        <v>0</v>
      </c>
      <c r="EA13" s="56" t="s">
        <v>15</v>
      </c>
      <c r="EB13" s="12" t="s">
        <v>16</v>
      </c>
      <c r="EC13" s="24">
        <f>SUM(EE13:EN13)</f>
        <v>0</v>
      </c>
      <c r="ED13" s="14">
        <v>0</v>
      </c>
      <c r="EE13" s="14">
        <v>0</v>
      </c>
      <c r="EF13" s="14">
        <v>0</v>
      </c>
      <c r="EG13" s="14">
        <v>0</v>
      </c>
      <c r="EH13" s="14">
        <v>0</v>
      </c>
      <c r="EI13" s="14">
        <v>0</v>
      </c>
      <c r="EJ13" s="14">
        <v>0</v>
      </c>
      <c r="EK13" s="14">
        <v>0</v>
      </c>
      <c r="EL13" s="14">
        <v>0</v>
      </c>
      <c r="EM13" s="14">
        <v>0</v>
      </c>
      <c r="EN13" s="14">
        <v>0</v>
      </c>
      <c r="EO13" s="56" t="s">
        <v>15</v>
      </c>
      <c r="EP13" s="12" t="s">
        <v>16</v>
      </c>
      <c r="EQ13" s="24">
        <f>SUM(ES13:FB13)</f>
        <v>0</v>
      </c>
      <c r="ER13" s="14">
        <v>0</v>
      </c>
      <c r="ES13" s="14">
        <v>0</v>
      </c>
      <c r="ET13" s="14">
        <v>0</v>
      </c>
      <c r="EU13" s="14">
        <v>0</v>
      </c>
      <c r="EV13" s="14">
        <v>0</v>
      </c>
      <c r="EW13" s="14">
        <v>0</v>
      </c>
      <c r="EX13" s="14">
        <v>0</v>
      </c>
      <c r="EY13" s="14">
        <v>0</v>
      </c>
      <c r="EZ13" s="14">
        <v>0</v>
      </c>
      <c r="FA13" s="14">
        <v>0</v>
      </c>
      <c r="FB13" s="14">
        <v>0</v>
      </c>
    </row>
    <row r="14" spans="1:158" s="27" customFormat="1" ht="15" customHeight="1" x14ac:dyDescent="0.2">
      <c r="A14" s="25"/>
      <c r="B14" s="25" t="s">
        <v>17</v>
      </c>
      <c r="C14" s="13">
        <f>SUM(C8:C13)</f>
        <v>8180312.3317500008</v>
      </c>
      <c r="D14" s="22"/>
      <c r="E14" s="26">
        <f t="shared" ref="E14:N14" si="4">SUM(E9:E13)</f>
        <v>2015725.8499999999</v>
      </c>
      <c r="F14" s="26">
        <f t="shared" si="4"/>
        <v>2156027.75</v>
      </c>
      <c r="G14" s="26">
        <f t="shared" si="4"/>
        <v>695380.2</v>
      </c>
      <c r="H14" s="26">
        <f t="shared" si="4"/>
        <v>505672.56999999995</v>
      </c>
      <c r="I14" s="26">
        <f t="shared" si="4"/>
        <v>737676.25999999989</v>
      </c>
      <c r="J14" s="26">
        <f t="shared" si="4"/>
        <v>554372.29999999993</v>
      </c>
      <c r="K14" s="26">
        <f t="shared" si="4"/>
        <v>202393.29174999997</v>
      </c>
      <c r="L14" s="26">
        <f t="shared" si="4"/>
        <v>419613.72999999992</v>
      </c>
      <c r="M14" s="26">
        <f t="shared" si="4"/>
        <v>590704.17000000004</v>
      </c>
      <c r="N14" s="26">
        <f t="shared" si="4"/>
        <v>302746.02</v>
      </c>
      <c r="O14" s="25"/>
      <c r="P14" s="25" t="s">
        <v>17</v>
      </c>
      <c r="Q14" s="13">
        <f>SUM(S14:T14)</f>
        <v>423608.08999999997</v>
      </c>
      <c r="R14" s="26">
        <f>SUM(R10:R12)</f>
        <v>0</v>
      </c>
      <c r="S14" s="26">
        <f>SUM(S10:S13)</f>
        <v>75498.41</v>
      </c>
      <c r="T14" s="26">
        <f>SUM(T10:T13)</f>
        <v>348109.67999999993</v>
      </c>
      <c r="U14" s="25"/>
      <c r="V14" s="25" t="s">
        <v>17</v>
      </c>
      <c r="W14" s="13">
        <f>SUM(Y14:Z14)</f>
        <v>440910.58999999997</v>
      </c>
      <c r="X14" s="26">
        <f>SUM(X10:X12)</f>
        <v>0</v>
      </c>
      <c r="Y14" s="26">
        <f>SUM(Y10:Y13)</f>
        <v>67208.25</v>
      </c>
      <c r="Z14" s="26">
        <f>SUM(Z10:Z13)</f>
        <v>373702.33999999997</v>
      </c>
      <c r="AA14" s="25"/>
      <c r="AB14" s="25" t="s">
        <v>17</v>
      </c>
      <c r="AC14" s="13">
        <f>SUM(AE14:AF14)</f>
        <v>563302.04</v>
      </c>
      <c r="AD14" s="26">
        <f>SUM(AD10:AD12)</f>
        <v>0</v>
      </c>
      <c r="AE14" s="26">
        <f>SUM(AE10:AE13)</f>
        <v>282410.75</v>
      </c>
      <c r="AF14" s="26">
        <f>SUM(AF10:AF13)</f>
        <v>280891.29000000004</v>
      </c>
      <c r="AG14" s="25"/>
      <c r="AH14" s="25" t="s">
        <v>17</v>
      </c>
      <c r="AI14" s="13">
        <f>SUM(AI10:AI13)</f>
        <v>636186.46</v>
      </c>
      <c r="AJ14" s="26">
        <f t="shared" ref="AJ14:AT14" si="5">SUM(AJ10:AJ13)</f>
        <v>0</v>
      </c>
      <c r="AK14" s="26">
        <f t="shared" si="5"/>
        <v>325049.95</v>
      </c>
      <c r="AL14" s="26">
        <f t="shared" si="5"/>
        <v>310036.51</v>
      </c>
      <c r="AM14" s="26">
        <f t="shared" si="5"/>
        <v>0</v>
      </c>
      <c r="AN14" s="26">
        <f t="shared" si="5"/>
        <v>0</v>
      </c>
      <c r="AO14" s="26">
        <f t="shared" si="5"/>
        <v>0</v>
      </c>
      <c r="AP14" s="26">
        <f t="shared" si="5"/>
        <v>450</v>
      </c>
      <c r="AQ14" s="26">
        <f t="shared" si="5"/>
        <v>650</v>
      </c>
      <c r="AR14" s="26">
        <f t="shared" si="5"/>
        <v>0</v>
      </c>
      <c r="AS14" s="26">
        <f t="shared" si="5"/>
        <v>0</v>
      </c>
      <c r="AT14" s="26">
        <f t="shared" si="5"/>
        <v>0</v>
      </c>
      <c r="AU14" s="25"/>
      <c r="AV14" s="25" t="s">
        <v>17</v>
      </c>
      <c r="AW14" s="13">
        <f>SUM(AW10:AW13)</f>
        <v>575848.81999999995</v>
      </c>
      <c r="AX14" s="26">
        <f t="shared" ref="AX14:BH14" si="6">SUM(AX10:AX13)</f>
        <v>0</v>
      </c>
      <c r="AY14" s="26">
        <f t="shared" si="6"/>
        <v>43063.270000000004</v>
      </c>
      <c r="AZ14" s="26">
        <f t="shared" si="6"/>
        <v>104645.95</v>
      </c>
      <c r="BA14" s="26">
        <f t="shared" si="6"/>
        <v>79060.320000000007</v>
      </c>
      <c r="BB14" s="26">
        <f t="shared" si="6"/>
        <v>53663.86</v>
      </c>
      <c r="BC14" s="26">
        <f t="shared" si="6"/>
        <v>84641.41</v>
      </c>
      <c r="BD14" s="26">
        <f t="shared" si="6"/>
        <v>56334.559999999998</v>
      </c>
      <c r="BE14" s="26">
        <f t="shared" si="6"/>
        <v>20403.980000000003</v>
      </c>
      <c r="BF14" s="26">
        <f t="shared" si="6"/>
        <v>44299.130000000005</v>
      </c>
      <c r="BG14" s="26">
        <f t="shared" si="6"/>
        <v>51359.040000000001</v>
      </c>
      <c r="BH14" s="26">
        <f t="shared" si="6"/>
        <v>38377.299999999996</v>
      </c>
      <c r="BI14" s="25"/>
      <c r="BJ14" s="25" t="s">
        <v>17</v>
      </c>
      <c r="BK14" s="13">
        <f>SUM(BK10:BK13)</f>
        <v>719658.17999999993</v>
      </c>
      <c r="BL14" s="26">
        <f t="shared" ref="BL14:BV14" si="7">SUM(BL10:BL13)</f>
        <v>0</v>
      </c>
      <c r="BM14" s="26">
        <f t="shared" si="7"/>
        <v>133830.97</v>
      </c>
      <c r="BN14" s="26">
        <f t="shared" si="7"/>
        <v>110618.88</v>
      </c>
      <c r="BO14" s="26">
        <f t="shared" si="7"/>
        <v>73344.98</v>
      </c>
      <c r="BP14" s="26">
        <f t="shared" si="7"/>
        <v>53015.259999999995</v>
      </c>
      <c r="BQ14" s="26">
        <f t="shared" si="7"/>
        <v>81666.87999999999</v>
      </c>
      <c r="BR14" s="26">
        <f t="shared" si="7"/>
        <v>70275.42</v>
      </c>
      <c r="BS14" s="26">
        <f t="shared" si="7"/>
        <v>26956.73</v>
      </c>
      <c r="BT14" s="26">
        <f t="shared" si="7"/>
        <v>51398.81</v>
      </c>
      <c r="BU14" s="26">
        <f t="shared" si="7"/>
        <v>84138.41</v>
      </c>
      <c r="BV14" s="26">
        <f t="shared" si="7"/>
        <v>34411.840000000004</v>
      </c>
      <c r="BW14" s="25"/>
      <c r="BX14" s="25" t="s">
        <v>17</v>
      </c>
      <c r="BY14" s="13">
        <f>SUM(BY10:BY13)</f>
        <v>635627.82999999996</v>
      </c>
      <c r="BZ14" s="26">
        <f t="shared" ref="BZ14:CJ14" si="8">SUM(BZ10:BZ13)</f>
        <v>0</v>
      </c>
      <c r="CA14" s="26">
        <f t="shared" si="8"/>
        <v>86907.19</v>
      </c>
      <c r="CB14" s="26">
        <f t="shared" si="8"/>
        <v>112220.54000000001</v>
      </c>
      <c r="CC14" s="26">
        <f t="shared" si="8"/>
        <v>73499.72</v>
      </c>
      <c r="CD14" s="26">
        <f t="shared" si="8"/>
        <v>48486.15</v>
      </c>
      <c r="CE14" s="26">
        <f t="shared" si="8"/>
        <v>83663.009999999995</v>
      </c>
      <c r="CF14" s="26">
        <f t="shared" si="8"/>
        <v>59984.21</v>
      </c>
      <c r="CG14" s="26">
        <f t="shared" si="8"/>
        <v>21176.1</v>
      </c>
      <c r="CH14" s="26">
        <f t="shared" si="8"/>
        <v>50162.009999999995</v>
      </c>
      <c r="CI14" s="26">
        <f t="shared" si="8"/>
        <v>65453.38</v>
      </c>
      <c r="CJ14" s="26">
        <f t="shared" si="8"/>
        <v>34075.519999999997</v>
      </c>
      <c r="CK14" s="25"/>
      <c r="CL14" s="25" t="s">
        <v>17</v>
      </c>
      <c r="CM14" s="13">
        <f>SUM(CM10:CM13)</f>
        <v>679201.1100000001</v>
      </c>
      <c r="CN14" s="26">
        <f t="shared" ref="CN14:CX14" si="9">SUM(CN10:CN13)</f>
        <v>0</v>
      </c>
      <c r="CO14" s="26">
        <f t="shared" si="9"/>
        <v>124196.69</v>
      </c>
      <c r="CP14" s="26">
        <f t="shared" si="9"/>
        <v>101525.18000000001</v>
      </c>
      <c r="CQ14" s="26">
        <f t="shared" si="9"/>
        <v>75499.5</v>
      </c>
      <c r="CR14" s="26">
        <f t="shared" si="9"/>
        <v>52890.619999999995</v>
      </c>
      <c r="CS14" s="26">
        <f t="shared" si="9"/>
        <v>84519.31</v>
      </c>
      <c r="CT14" s="26">
        <f t="shared" si="9"/>
        <v>68306.469999999987</v>
      </c>
      <c r="CU14" s="26">
        <f t="shared" si="9"/>
        <v>23623.74</v>
      </c>
      <c r="CV14" s="26">
        <f t="shared" si="9"/>
        <v>46897.22</v>
      </c>
      <c r="CW14" s="26">
        <f t="shared" si="9"/>
        <v>67557.45</v>
      </c>
      <c r="CX14" s="26">
        <f t="shared" si="9"/>
        <v>34184.93</v>
      </c>
      <c r="CY14" s="25"/>
      <c r="CZ14" s="25" t="s">
        <v>17</v>
      </c>
      <c r="DA14" s="13">
        <f>SUM(DA10:DA13)</f>
        <v>637431.54999999993</v>
      </c>
      <c r="DB14" s="26">
        <f t="shared" ref="DB14:DL14" si="10">SUM(DB10:DB13)</f>
        <v>0</v>
      </c>
      <c r="DC14" s="26">
        <f t="shared" si="10"/>
        <v>74530.090000000011</v>
      </c>
      <c r="DD14" s="26">
        <f t="shared" si="10"/>
        <v>108129.31</v>
      </c>
      <c r="DE14" s="26">
        <f t="shared" si="10"/>
        <v>73411.790000000008</v>
      </c>
      <c r="DF14" s="26">
        <f t="shared" si="10"/>
        <v>60590.52</v>
      </c>
      <c r="DG14" s="26">
        <f t="shared" si="10"/>
        <v>84950.080000000002</v>
      </c>
      <c r="DH14" s="26">
        <f t="shared" si="10"/>
        <v>69223.78</v>
      </c>
      <c r="DI14" s="26">
        <f t="shared" si="10"/>
        <v>20408.43</v>
      </c>
      <c r="DJ14" s="26">
        <f t="shared" si="10"/>
        <v>43144.490000000005</v>
      </c>
      <c r="DK14" s="26">
        <f t="shared" si="10"/>
        <v>67691.63</v>
      </c>
      <c r="DL14" s="26">
        <f t="shared" si="10"/>
        <v>35351.43</v>
      </c>
      <c r="DM14" s="25"/>
      <c r="DN14" s="25" t="s">
        <v>17</v>
      </c>
      <c r="DO14" s="13">
        <f>SUM(DO10:DO13)</f>
        <v>773643.76</v>
      </c>
      <c r="DP14" s="26">
        <f t="shared" ref="DP14:DZ14" si="11">SUM(DP10:DP13)</f>
        <v>0</v>
      </c>
      <c r="DQ14" s="26">
        <f>SUM(DQ10:DQ13)</f>
        <v>147084.91999999998</v>
      </c>
      <c r="DR14" s="26">
        <f t="shared" si="11"/>
        <v>101905.12999999999</v>
      </c>
      <c r="DS14" s="26">
        <f t="shared" si="11"/>
        <v>91902.05</v>
      </c>
      <c r="DT14" s="26">
        <f t="shared" si="11"/>
        <v>86388.1</v>
      </c>
      <c r="DU14" s="26">
        <f t="shared" si="11"/>
        <v>86024.28</v>
      </c>
      <c r="DV14" s="26">
        <f t="shared" si="11"/>
        <v>69106.7</v>
      </c>
      <c r="DW14" s="26">
        <f t="shared" si="11"/>
        <v>29329.100000000002</v>
      </c>
      <c r="DX14" s="26">
        <f t="shared" si="11"/>
        <v>50806.93</v>
      </c>
      <c r="DY14" s="26">
        <f t="shared" si="11"/>
        <v>75125.279999999999</v>
      </c>
      <c r="DZ14" s="26">
        <f t="shared" si="11"/>
        <v>35971.270000000004</v>
      </c>
      <c r="EA14" s="25"/>
      <c r="EB14" s="25" t="s">
        <v>17</v>
      </c>
      <c r="EC14" s="13">
        <f>SUM(EC10:EC13)</f>
        <v>760069.25</v>
      </c>
      <c r="ED14" s="26">
        <f t="shared" ref="ED14" si="12">SUM(ED10:ED13)</f>
        <v>0</v>
      </c>
      <c r="EE14" s="26">
        <f>SUM(EE10:EE13)</f>
        <v>43453.89</v>
      </c>
      <c r="EF14" s="26">
        <f t="shared" ref="EF14:EN14" si="13">SUM(EF10:EF13)</f>
        <v>82998.44</v>
      </c>
      <c r="EG14" s="26">
        <f t="shared" si="13"/>
        <v>116715.40000000002</v>
      </c>
      <c r="EH14" s="26">
        <f t="shared" si="13"/>
        <v>72784.81</v>
      </c>
      <c r="EI14" s="26">
        <f t="shared" si="13"/>
        <v>114157.13999999998</v>
      </c>
      <c r="EJ14" s="26">
        <f t="shared" si="13"/>
        <v>85179.42</v>
      </c>
      <c r="EK14" s="26">
        <f t="shared" si="13"/>
        <v>31600.75</v>
      </c>
      <c r="EL14" s="26">
        <f t="shared" si="13"/>
        <v>75206.63</v>
      </c>
      <c r="EM14" s="26">
        <f t="shared" si="13"/>
        <v>90414.47</v>
      </c>
      <c r="EN14" s="26">
        <f t="shared" si="13"/>
        <v>47558.3</v>
      </c>
      <c r="EO14" s="25"/>
      <c r="EP14" s="25" t="s">
        <v>17</v>
      </c>
      <c r="EQ14" s="13">
        <f>SUM(EQ10:EQ13)</f>
        <v>1116051.46175</v>
      </c>
      <c r="ER14" s="26">
        <f t="shared" ref="ER14" si="14">SUM(ER10:ER13)</f>
        <v>0</v>
      </c>
      <c r="ES14" s="26">
        <f>SUM(ES10:ES13)</f>
        <v>407334.47</v>
      </c>
      <c r="ET14" s="26">
        <f t="shared" ref="ET14:FB14" si="15">SUM(ET10:ET13)</f>
        <v>107628.50000000001</v>
      </c>
      <c r="EU14" s="26">
        <f t="shared" si="15"/>
        <v>111946.44</v>
      </c>
      <c r="EV14" s="26">
        <f t="shared" si="15"/>
        <v>77853.25</v>
      </c>
      <c r="EW14" s="26">
        <f t="shared" si="15"/>
        <v>118054.15000000001</v>
      </c>
      <c r="EX14" s="26">
        <f t="shared" si="15"/>
        <v>75511.740000000005</v>
      </c>
      <c r="EY14" s="26">
        <f t="shared" si="15"/>
        <v>28244.461750000002</v>
      </c>
      <c r="EZ14" s="26">
        <f t="shared" si="15"/>
        <v>57698.51</v>
      </c>
      <c r="FA14" s="26">
        <f t="shared" si="15"/>
        <v>88964.510000000009</v>
      </c>
      <c r="FB14" s="26">
        <f t="shared" si="15"/>
        <v>42815.43</v>
      </c>
    </row>
    <row r="15" spans="1:158" s="4" customFormat="1" ht="12" customHeight="1" x14ac:dyDescent="0.2">
      <c r="A15" s="73" t="s">
        <v>18</v>
      </c>
      <c r="B15" s="73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73" t="s">
        <v>18</v>
      </c>
      <c r="P15" s="73"/>
      <c r="Q15" s="28"/>
      <c r="R15" s="7"/>
      <c r="S15" s="7"/>
      <c r="T15" s="7"/>
      <c r="U15" s="73" t="s">
        <v>18</v>
      </c>
      <c r="V15" s="73"/>
      <c r="W15" s="28"/>
      <c r="X15" s="7"/>
      <c r="Y15" s="7"/>
      <c r="Z15" s="7"/>
      <c r="AA15" s="73" t="s">
        <v>18</v>
      </c>
      <c r="AB15" s="73"/>
      <c r="AC15" s="28"/>
      <c r="AD15" s="7"/>
      <c r="AE15" s="7"/>
      <c r="AF15" s="7"/>
      <c r="AG15" s="73" t="s">
        <v>18</v>
      </c>
      <c r="AH15" s="73"/>
      <c r="AI15" s="28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3" t="s">
        <v>18</v>
      </c>
      <c r="AV15" s="73"/>
      <c r="AW15" s="28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3" t="s">
        <v>18</v>
      </c>
      <c r="BJ15" s="73"/>
      <c r="BK15" s="28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3" t="s">
        <v>18</v>
      </c>
      <c r="BX15" s="73"/>
      <c r="BY15" s="28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3" t="s">
        <v>18</v>
      </c>
      <c r="CL15" s="73"/>
      <c r="CM15" s="28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3" t="s">
        <v>18</v>
      </c>
      <c r="CZ15" s="73"/>
      <c r="DA15" s="28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3" t="s">
        <v>18</v>
      </c>
      <c r="DN15" s="73"/>
      <c r="DO15" s="28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3" t="s">
        <v>18</v>
      </c>
      <c r="EB15" s="73"/>
      <c r="EC15" s="70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3" t="s">
        <v>18</v>
      </c>
      <c r="EP15" s="73"/>
      <c r="EQ15" s="70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</row>
    <row r="16" spans="1:158" s="4" customFormat="1" ht="12" x14ac:dyDescent="0.2">
      <c r="A16" s="31"/>
      <c r="B16" s="29" t="s">
        <v>19</v>
      </c>
      <c r="C16" s="30">
        <v>8.6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60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60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</row>
    <row r="17" spans="1:158" s="19" customFormat="1" ht="12" customHeight="1" x14ac:dyDescent="0.2">
      <c r="A17" s="17">
        <v>1</v>
      </c>
      <c r="B17" s="33" t="s">
        <v>20</v>
      </c>
      <c r="C17" s="24">
        <f>SUM(E17:N17)</f>
        <v>3600183.7999999993</v>
      </c>
      <c r="D17" s="14"/>
      <c r="E17" s="14">
        <f>S17+Y17+AE17+AK17+AY17+BM17+CA17+CO17+DC17+DQ17+EE17+ES17</f>
        <v>560770.99</v>
      </c>
      <c r="F17" s="14">
        <f>T17+Z17+AF17+AL17+AZ17+BN17+CB17+CP17+DD17+DR17+EF17+ET17</f>
        <v>544712.62999999989</v>
      </c>
      <c r="G17" s="14">
        <f>AM17+BA17+BO17+CC17+CQ17+DE17+DS17+EG17+EU17</f>
        <v>433823.69000000006</v>
      </c>
      <c r="H17" s="14">
        <f t="shared" ref="H17:N32" si="16">AN17+BB17+BP17+CD17+CR17+DF17+DT17+EH17+EV17</f>
        <v>312041.13</v>
      </c>
      <c r="I17" s="14">
        <f t="shared" si="16"/>
        <v>396943.25999999995</v>
      </c>
      <c r="J17" s="14">
        <f t="shared" si="16"/>
        <v>372374.07000000007</v>
      </c>
      <c r="K17" s="14">
        <f t="shared" si="16"/>
        <v>134908.88</v>
      </c>
      <c r="L17" s="14">
        <f t="shared" si="16"/>
        <v>277459.26</v>
      </c>
      <c r="M17" s="14">
        <f t="shared" si="16"/>
        <v>389477</v>
      </c>
      <c r="N17" s="14">
        <f t="shared" si="16"/>
        <v>177672.88999999998</v>
      </c>
      <c r="O17" s="17">
        <v>1</v>
      </c>
      <c r="P17" s="12" t="s">
        <v>20</v>
      </c>
      <c r="Q17" s="24">
        <f>SUM(S17:T17)</f>
        <v>111872.72</v>
      </c>
      <c r="R17" s="14">
        <v>0</v>
      </c>
      <c r="S17" s="14">
        <v>59373.3</v>
      </c>
      <c r="T17" s="14">
        <v>52499.42</v>
      </c>
      <c r="U17" s="17">
        <v>1</v>
      </c>
      <c r="V17" s="12" t="s">
        <v>20</v>
      </c>
      <c r="W17" s="24">
        <f>SUM(Y17:Z17)</f>
        <v>108263.86</v>
      </c>
      <c r="X17" s="14">
        <v>0</v>
      </c>
      <c r="Y17" s="14">
        <v>63012.39</v>
      </c>
      <c r="Z17" s="14">
        <v>45251.47</v>
      </c>
      <c r="AA17" s="17">
        <v>1</v>
      </c>
      <c r="AB17" s="12" t="s">
        <v>20</v>
      </c>
      <c r="AC17" s="24">
        <f>SUM(AE17:AF17)</f>
        <v>107776.55</v>
      </c>
      <c r="AD17" s="14">
        <v>0</v>
      </c>
      <c r="AE17" s="14">
        <v>64351.97</v>
      </c>
      <c r="AF17" s="14">
        <v>43424.58</v>
      </c>
      <c r="AG17" s="17">
        <v>1</v>
      </c>
      <c r="AH17" s="12" t="s">
        <v>20</v>
      </c>
      <c r="AI17" s="24">
        <f>SUM(AK17:AT17)</f>
        <v>99454.080000000002</v>
      </c>
      <c r="AJ17" s="14">
        <v>0</v>
      </c>
      <c r="AK17" s="14">
        <v>58098.53</v>
      </c>
      <c r="AL17" s="14">
        <v>41355.550000000003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0</v>
      </c>
      <c r="AS17" s="14">
        <v>0</v>
      </c>
      <c r="AT17" s="14">
        <v>0</v>
      </c>
      <c r="AU17" s="17">
        <v>1</v>
      </c>
      <c r="AV17" s="12" t="s">
        <v>20</v>
      </c>
      <c r="AW17" s="24">
        <f>SUM(AY17:BH17)</f>
        <v>379343.59</v>
      </c>
      <c r="AX17" s="14">
        <v>0</v>
      </c>
      <c r="AY17" s="14">
        <v>36975.07</v>
      </c>
      <c r="AZ17" s="14">
        <v>41863.35</v>
      </c>
      <c r="BA17" s="14">
        <v>52723.19</v>
      </c>
      <c r="BB17" s="14">
        <v>34555.199999999997</v>
      </c>
      <c r="BC17" s="14">
        <v>47815.54</v>
      </c>
      <c r="BD17" s="14">
        <v>44404.12</v>
      </c>
      <c r="BE17" s="14">
        <v>16087.23</v>
      </c>
      <c r="BF17" s="14">
        <v>34406.89</v>
      </c>
      <c r="BG17" s="14">
        <v>48299.95</v>
      </c>
      <c r="BH17" s="14">
        <v>22213.05</v>
      </c>
      <c r="BI17" s="17">
        <v>1</v>
      </c>
      <c r="BJ17" s="12" t="s">
        <v>20</v>
      </c>
      <c r="BK17" s="24">
        <f>SUM(BM17:BV17)</f>
        <v>389782.42999999993</v>
      </c>
      <c r="BL17" s="14">
        <v>0</v>
      </c>
      <c r="BM17" s="14">
        <v>38011</v>
      </c>
      <c r="BN17" s="14">
        <v>36191.769999999997</v>
      </c>
      <c r="BO17" s="14">
        <v>54480.82</v>
      </c>
      <c r="BP17" s="14">
        <v>35033.65</v>
      </c>
      <c r="BQ17" s="14">
        <v>52007.86</v>
      </c>
      <c r="BR17" s="14">
        <v>48412.84</v>
      </c>
      <c r="BS17" s="14">
        <v>17540.54</v>
      </c>
      <c r="BT17" s="14">
        <v>35851.31</v>
      </c>
      <c r="BU17" s="14">
        <v>50328.3</v>
      </c>
      <c r="BV17" s="14">
        <v>21924.34</v>
      </c>
      <c r="BW17" s="17">
        <v>1</v>
      </c>
      <c r="BX17" s="12" t="s">
        <v>20</v>
      </c>
      <c r="BY17" s="24">
        <f>SUM(CA17:CJ17)</f>
        <v>377892.83</v>
      </c>
      <c r="BZ17" s="14">
        <v>0</v>
      </c>
      <c r="CA17" s="14">
        <v>38587.79</v>
      </c>
      <c r="CB17" s="14">
        <v>37086.339999999997</v>
      </c>
      <c r="CC17" s="14">
        <v>53654.77</v>
      </c>
      <c r="CD17" s="14">
        <v>32756.54</v>
      </c>
      <c r="CE17" s="14">
        <v>49279.96</v>
      </c>
      <c r="CF17" s="14">
        <v>45863.48</v>
      </c>
      <c r="CG17" s="14">
        <v>16615.310000000001</v>
      </c>
      <c r="CH17" s="14">
        <v>33989.54</v>
      </c>
      <c r="CI17" s="14">
        <v>47708.28</v>
      </c>
      <c r="CJ17" s="14">
        <v>22350.82</v>
      </c>
      <c r="CK17" s="17">
        <v>1</v>
      </c>
      <c r="CL17" s="12" t="s">
        <v>20</v>
      </c>
      <c r="CM17" s="24">
        <f t="shared" ref="CM17:CM22" si="17">SUM(CO17:CX17)</f>
        <v>375883.39</v>
      </c>
      <c r="CN17" s="14">
        <v>0</v>
      </c>
      <c r="CO17" s="14">
        <v>36813.949999999997</v>
      </c>
      <c r="CP17" s="14">
        <v>43961</v>
      </c>
      <c r="CQ17" s="14">
        <v>51405.79</v>
      </c>
      <c r="CR17" s="14">
        <v>32340.06</v>
      </c>
      <c r="CS17" s="14">
        <v>46840.93</v>
      </c>
      <c r="CT17" s="14">
        <v>45287.39</v>
      </c>
      <c r="CU17" s="14">
        <v>16407.439999999999</v>
      </c>
      <c r="CV17" s="14">
        <v>33554.58</v>
      </c>
      <c r="CW17" s="14">
        <v>47101.760000000002</v>
      </c>
      <c r="CX17" s="14">
        <v>22170.49</v>
      </c>
      <c r="CY17" s="17">
        <v>1</v>
      </c>
      <c r="CZ17" s="12" t="s">
        <v>20</v>
      </c>
      <c r="DA17" s="24">
        <f t="shared" ref="DA17:DA22" si="18">SUM(DC17:DL17)</f>
        <v>387669</v>
      </c>
      <c r="DB17" s="14">
        <v>0</v>
      </c>
      <c r="DC17" s="14">
        <v>39609</v>
      </c>
      <c r="DD17" s="14">
        <v>39985</v>
      </c>
      <c r="DE17" s="14">
        <v>54681</v>
      </c>
      <c r="DF17" s="14">
        <v>34580</v>
      </c>
      <c r="DG17" s="14">
        <v>50013</v>
      </c>
      <c r="DH17" s="14">
        <v>46480</v>
      </c>
      <c r="DI17" s="14">
        <v>16839</v>
      </c>
      <c r="DJ17" s="14">
        <v>34451</v>
      </c>
      <c r="DK17" s="14">
        <v>48357</v>
      </c>
      <c r="DL17" s="14">
        <v>22674</v>
      </c>
      <c r="DM17" s="17">
        <v>1</v>
      </c>
      <c r="DN17" s="12" t="s">
        <v>20</v>
      </c>
      <c r="DO17" s="24">
        <f t="shared" ref="DO17:DO22" si="19">SUM(DQ17:DZ17)</f>
        <v>413694.93</v>
      </c>
      <c r="DP17" s="14">
        <v>0</v>
      </c>
      <c r="DQ17" s="14">
        <v>39968.01</v>
      </c>
      <c r="DR17" s="14">
        <v>46400.84</v>
      </c>
      <c r="DS17" s="14">
        <v>60688.46</v>
      </c>
      <c r="DT17" s="14">
        <v>39344.86</v>
      </c>
      <c r="DU17" s="14">
        <v>52924.3</v>
      </c>
      <c r="DV17" s="14">
        <v>48114.19</v>
      </c>
      <c r="DW17" s="14">
        <v>17431.07</v>
      </c>
      <c r="DX17" s="14">
        <v>35674.129999999997</v>
      </c>
      <c r="DY17" s="14">
        <v>50074.65</v>
      </c>
      <c r="DZ17" s="14">
        <v>23074.42</v>
      </c>
      <c r="EA17" s="17">
        <v>1</v>
      </c>
      <c r="EB17" s="12" t="s">
        <v>20</v>
      </c>
      <c r="EC17" s="24">
        <f t="shared" ref="EC17:EC22" si="20">SUM(EE17:EN17)</f>
        <v>418328.70000000007</v>
      </c>
      <c r="ED17" s="14">
        <v>0</v>
      </c>
      <c r="EE17" s="14">
        <v>37038.85</v>
      </c>
      <c r="EF17" s="14">
        <v>76448.479999999996</v>
      </c>
      <c r="EG17" s="14">
        <v>52774.64</v>
      </c>
      <c r="EH17" s="14">
        <v>34469.97</v>
      </c>
      <c r="EI17" s="14">
        <v>49962.17</v>
      </c>
      <c r="EJ17" s="14">
        <v>46507.89</v>
      </c>
      <c r="EK17" s="14">
        <v>16849.900000000001</v>
      </c>
      <c r="EL17" s="14">
        <v>34467.69</v>
      </c>
      <c r="EM17" s="14">
        <v>48384.89</v>
      </c>
      <c r="EN17" s="14">
        <v>21424.22</v>
      </c>
      <c r="EO17" s="17">
        <v>1</v>
      </c>
      <c r="EP17" s="12" t="s">
        <v>20</v>
      </c>
      <c r="EQ17" s="24">
        <f t="shared" ref="EQ17:EQ22" si="21">SUM(ES17:FB17)</f>
        <v>430221.72</v>
      </c>
      <c r="ER17" s="14">
        <v>0</v>
      </c>
      <c r="ES17" s="14">
        <v>48931.13</v>
      </c>
      <c r="ET17" s="14">
        <v>40244.83</v>
      </c>
      <c r="EU17" s="14">
        <v>53415.02</v>
      </c>
      <c r="EV17" s="14">
        <v>68960.850000000006</v>
      </c>
      <c r="EW17" s="14">
        <v>48099.5</v>
      </c>
      <c r="EX17" s="14">
        <v>47304.160000000003</v>
      </c>
      <c r="EY17" s="14">
        <f>17138.39</f>
        <v>17138.39</v>
      </c>
      <c r="EZ17" s="14">
        <f>35064.12</f>
        <v>35064.120000000003</v>
      </c>
      <c r="FA17" s="14">
        <v>49222.17</v>
      </c>
      <c r="FB17" s="14">
        <v>21841.55</v>
      </c>
    </row>
    <row r="18" spans="1:158" s="19" customFormat="1" ht="12" x14ac:dyDescent="0.2">
      <c r="A18" s="57">
        <v>2</v>
      </c>
      <c r="B18" s="12" t="s">
        <v>21</v>
      </c>
      <c r="C18" s="24">
        <f t="shared" ref="C18:C46" si="22">SUM(E18:N18)</f>
        <v>720036.76</v>
      </c>
      <c r="D18" s="14"/>
      <c r="E18" s="14">
        <f t="shared" ref="E18:E53" si="23">S18+Y18+AE18+AK18+AY18+BM18+CA18+CO18+DC18+DQ18+EE18+ES18</f>
        <v>112154.198</v>
      </c>
      <c r="F18" s="14">
        <f t="shared" ref="F18:F53" si="24">T18+Z18+AF18+AL18+AZ18+BN18+CB18+CP18+DD18+DR18+EF18+ET18</f>
        <v>108942.526</v>
      </c>
      <c r="G18" s="14">
        <f t="shared" ref="G18:G53" si="25">AM18+BA18+BO18+CC18+CQ18+DE18+DS18+EG18+EU18</f>
        <v>86764.737999999998</v>
      </c>
      <c r="H18" s="14">
        <f t="shared" si="16"/>
        <v>62408.22600000001</v>
      </c>
      <c r="I18" s="14">
        <f t="shared" si="16"/>
        <v>79388.652000000002</v>
      </c>
      <c r="J18" s="14">
        <f t="shared" si="16"/>
        <v>74474.814000000013</v>
      </c>
      <c r="K18" s="14">
        <f t="shared" si="16"/>
        <v>26981.775999999998</v>
      </c>
      <c r="L18" s="14">
        <f t="shared" si="16"/>
        <v>55491.852000000006</v>
      </c>
      <c r="M18" s="14">
        <f t="shared" si="16"/>
        <v>77895.399999999994</v>
      </c>
      <c r="N18" s="14">
        <f t="shared" si="16"/>
        <v>35534.578000000001</v>
      </c>
      <c r="O18" s="57">
        <v>2</v>
      </c>
      <c r="P18" s="12" t="s">
        <v>21</v>
      </c>
      <c r="Q18" s="24">
        <v>22374</v>
      </c>
      <c r="R18" s="14">
        <v>0</v>
      </c>
      <c r="S18" s="14">
        <f>S17*0.2</f>
        <v>11874.660000000002</v>
      </c>
      <c r="T18" s="14">
        <f>T17*0.2</f>
        <v>10499.884</v>
      </c>
      <c r="U18" s="57">
        <v>2</v>
      </c>
      <c r="V18" s="12" t="s">
        <v>21</v>
      </c>
      <c r="W18" s="24">
        <f>SUM(Y18:Z18)</f>
        <v>21652.772000000001</v>
      </c>
      <c r="X18" s="14">
        <v>0</v>
      </c>
      <c r="Y18" s="14">
        <f>Y17*0.2</f>
        <v>12602.478000000001</v>
      </c>
      <c r="Z18" s="14">
        <f>Z17*0.2</f>
        <v>9050.2939999999999</v>
      </c>
      <c r="AA18" s="57">
        <v>2</v>
      </c>
      <c r="AB18" s="12" t="s">
        <v>21</v>
      </c>
      <c r="AC18" s="24">
        <v>21556</v>
      </c>
      <c r="AD18" s="14">
        <v>0</v>
      </c>
      <c r="AE18" s="14">
        <f>AE17*0.2</f>
        <v>12870.394</v>
      </c>
      <c r="AF18" s="14">
        <f>AF17*0.2</f>
        <v>8684.9160000000011</v>
      </c>
      <c r="AG18" s="57">
        <v>2</v>
      </c>
      <c r="AH18" s="12" t="s">
        <v>21</v>
      </c>
      <c r="AI18" s="24">
        <f>SUM(AK18:AT18)</f>
        <v>19890.815999999999</v>
      </c>
      <c r="AJ18" s="14">
        <v>0</v>
      </c>
      <c r="AK18" s="14">
        <f t="shared" ref="AK18:AT18" si="26">AK17*0.2</f>
        <v>11619.706</v>
      </c>
      <c r="AL18" s="14">
        <f t="shared" si="26"/>
        <v>8271.11</v>
      </c>
      <c r="AM18" s="14">
        <f t="shared" si="26"/>
        <v>0</v>
      </c>
      <c r="AN18" s="14">
        <f t="shared" si="26"/>
        <v>0</v>
      </c>
      <c r="AO18" s="14">
        <f t="shared" si="26"/>
        <v>0</v>
      </c>
      <c r="AP18" s="14">
        <f t="shared" si="26"/>
        <v>0</v>
      </c>
      <c r="AQ18" s="14">
        <f t="shared" si="26"/>
        <v>0</v>
      </c>
      <c r="AR18" s="14">
        <f t="shared" si="26"/>
        <v>0</v>
      </c>
      <c r="AS18" s="14">
        <f t="shared" si="26"/>
        <v>0</v>
      </c>
      <c r="AT18" s="14">
        <f t="shared" si="26"/>
        <v>0</v>
      </c>
      <c r="AU18" s="57">
        <v>2</v>
      </c>
      <c r="AV18" s="12" t="s">
        <v>21</v>
      </c>
      <c r="AW18" s="24">
        <f>SUM(AY18:BH18)</f>
        <v>75868.718000000008</v>
      </c>
      <c r="AX18" s="14">
        <v>0</v>
      </c>
      <c r="AY18" s="14">
        <f>AY17*0.2</f>
        <v>7395.0140000000001</v>
      </c>
      <c r="AZ18" s="14">
        <f>AZ17*0.2</f>
        <v>8372.67</v>
      </c>
      <c r="BA18" s="14">
        <f>BA17*0.2</f>
        <v>10544.638000000001</v>
      </c>
      <c r="BB18" s="14">
        <f t="shared" ref="BB18:BH18" si="27">BB17*0.2</f>
        <v>6911.04</v>
      </c>
      <c r="BC18" s="14">
        <f t="shared" si="27"/>
        <v>9563.1080000000002</v>
      </c>
      <c r="BD18" s="14">
        <f t="shared" si="27"/>
        <v>8880.8240000000005</v>
      </c>
      <c r="BE18" s="14">
        <f t="shared" si="27"/>
        <v>3217.4459999999999</v>
      </c>
      <c r="BF18" s="14">
        <f t="shared" si="27"/>
        <v>6881.3780000000006</v>
      </c>
      <c r="BG18" s="14">
        <f t="shared" si="27"/>
        <v>9659.99</v>
      </c>
      <c r="BH18" s="14">
        <f t="shared" si="27"/>
        <v>4442.6099999999997</v>
      </c>
      <c r="BI18" s="57">
        <v>2</v>
      </c>
      <c r="BJ18" s="12" t="s">
        <v>21</v>
      </c>
      <c r="BK18" s="24">
        <f>SUM(BM18:BV18)</f>
        <v>77956.486000000004</v>
      </c>
      <c r="BL18" s="14">
        <v>0</v>
      </c>
      <c r="BM18" s="14">
        <f t="shared" ref="BM18:BV18" si="28">BM17*0.2</f>
        <v>7602.2000000000007</v>
      </c>
      <c r="BN18" s="14">
        <f t="shared" si="28"/>
        <v>7238.3539999999994</v>
      </c>
      <c r="BO18" s="14">
        <f t="shared" si="28"/>
        <v>10896.164000000001</v>
      </c>
      <c r="BP18" s="14">
        <f t="shared" si="28"/>
        <v>7006.7300000000005</v>
      </c>
      <c r="BQ18" s="14">
        <f t="shared" si="28"/>
        <v>10401.572</v>
      </c>
      <c r="BR18" s="14">
        <f t="shared" si="28"/>
        <v>9682.5679999999993</v>
      </c>
      <c r="BS18" s="14">
        <f t="shared" si="28"/>
        <v>3508.1080000000002</v>
      </c>
      <c r="BT18" s="14">
        <f t="shared" si="28"/>
        <v>7170.2619999999997</v>
      </c>
      <c r="BU18" s="14">
        <f t="shared" si="28"/>
        <v>10065.660000000002</v>
      </c>
      <c r="BV18" s="14">
        <f t="shared" si="28"/>
        <v>4384.8680000000004</v>
      </c>
      <c r="BW18" s="57">
        <v>2</v>
      </c>
      <c r="BX18" s="12" t="s">
        <v>21</v>
      </c>
      <c r="BY18" s="24">
        <f>SUM(CA18:CJ18)</f>
        <v>75578.566000000006</v>
      </c>
      <c r="BZ18" s="14">
        <v>0</v>
      </c>
      <c r="CA18" s="14">
        <f t="shared" ref="CA18:CJ18" si="29">CA17*0.2</f>
        <v>7717.5580000000009</v>
      </c>
      <c r="CB18" s="14">
        <f t="shared" si="29"/>
        <v>7417.268</v>
      </c>
      <c r="CC18" s="14">
        <f t="shared" si="29"/>
        <v>10730.954</v>
      </c>
      <c r="CD18" s="14">
        <f t="shared" si="29"/>
        <v>6551.3080000000009</v>
      </c>
      <c r="CE18" s="14">
        <f t="shared" si="29"/>
        <v>9855.9920000000002</v>
      </c>
      <c r="CF18" s="14">
        <f t="shared" si="29"/>
        <v>9172.6960000000017</v>
      </c>
      <c r="CG18" s="14">
        <f t="shared" si="29"/>
        <v>3323.0620000000004</v>
      </c>
      <c r="CH18" s="14">
        <f t="shared" si="29"/>
        <v>6797.9080000000004</v>
      </c>
      <c r="CI18" s="14">
        <f t="shared" si="29"/>
        <v>9541.6560000000009</v>
      </c>
      <c r="CJ18" s="14">
        <f t="shared" si="29"/>
        <v>4470.1639999999998</v>
      </c>
      <c r="CK18" s="57">
        <v>2</v>
      </c>
      <c r="CL18" s="12" t="s">
        <v>21</v>
      </c>
      <c r="CM18" s="24">
        <f t="shared" si="17"/>
        <v>75176.678</v>
      </c>
      <c r="CN18" s="14">
        <v>0</v>
      </c>
      <c r="CO18" s="14">
        <f t="shared" ref="CO18:CX18" si="30">CO17*0.2</f>
        <v>7362.79</v>
      </c>
      <c r="CP18" s="14">
        <f t="shared" si="30"/>
        <v>8792.2000000000007</v>
      </c>
      <c r="CQ18" s="14">
        <f t="shared" si="30"/>
        <v>10281.158000000001</v>
      </c>
      <c r="CR18" s="14">
        <f t="shared" si="30"/>
        <v>6468.0120000000006</v>
      </c>
      <c r="CS18" s="14">
        <f t="shared" si="30"/>
        <v>9368.1859999999997</v>
      </c>
      <c r="CT18" s="14">
        <f t="shared" si="30"/>
        <v>9057.478000000001</v>
      </c>
      <c r="CU18" s="14">
        <f t="shared" si="30"/>
        <v>3281.4879999999998</v>
      </c>
      <c r="CV18" s="14">
        <f t="shared" si="30"/>
        <v>6710.9160000000011</v>
      </c>
      <c r="CW18" s="14">
        <f t="shared" si="30"/>
        <v>9420.3520000000008</v>
      </c>
      <c r="CX18" s="14">
        <f t="shared" si="30"/>
        <v>4434.0980000000009</v>
      </c>
      <c r="CY18" s="57">
        <v>2</v>
      </c>
      <c r="CZ18" s="12" t="s">
        <v>21</v>
      </c>
      <c r="DA18" s="24">
        <f t="shared" si="18"/>
        <v>77533.8</v>
      </c>
      <c r="DB18" s="14">
        <v>0</v>
      </c>
      <c r="DC18" s="14">
        <f t="shared" ref="DC18:DL18" si="31">DC17*0.2</f>
        <v>7921.8</v>
      </c>
      <c r="DD18" s="14">
        <f t="shared" si="31"/>
        <v>7997</v>
      </c>
      <c r="DE18" s="14">
        <f t="shared" si="31"/>
        <v>10936.2</v>
      </c>
      <c r="DF18" s="14">
        <f t="shared" si="31"/>
        <v>6916</v>
      </c>
      <c r="DG18" s="14">
        <f t="shared" si="31"/>
        <v>10002.6</v>
      </c>
      <c r="DH18" s="14">
        <f t="shared" si="31"/>
        <v>9296</v>
      </c>
      <c r="DI18" s="14">
        <f t="shared" si="31"/>
        <v>3367.8</v>
      </c>
      <c r="DJ18" s="14">
        <f t="shared" si="31"/>
        <v>6890.2000000000007</v>
      </c>
      <c r="DK18" s="14">
        <f t="shared" si="31"/>
        <v>9671.4</v>
      </c>
      <c r="DL18" s="14">
        <f t="shared" si="31"/>
        <v>4534.8</v>
      </c>
      <c r="DM18" s="57">
        <v>2</v>
      </c>
      <c r="DN18" s="12" t="s">
        <v>21</v>
      </c>
      <c r="DO18" s="24">
        <f t="shared" si="19"/>
        <v>82738.986000000019</v>
      </c>
      <c r="DP18" s="14">
        <v>0</v>
      </c>
      <c r="DQ18" s="14">
        <f t="shared" ref="DQ18:DZ18" si="32">DQ17*0.2</f>
        <v>7993.6020000000008</v>
      </c>
      <c r="DR18" s="14">
        <f t="shared" si="32"/>
        <v>9280.1679999999997</v>
      </c>
      <c r="DS18" s="14">
        <f t="shared" si="32"/>
        <v>12137.692000000001</v>
      </c>
      <c r="DT18" s="14">
        <f t="shared" si="32"/>
        <v>7868.9720000000007</v>
      </c>
      <c r="DU18" s="14">
        <f t="shared" si="32"/>
        <v>10584.86</v>
      </c>
      <c r="DV18" s="14">
        <f t="shared" si="32"/>
        <v>9622.8380000000016</v>
      </c>
      <c r="DW18" s="14">
        <f t="shared" si="32"/>
        <v>3486.2139999999999</v>
      </c>
      <c r="DX18" s="14">
        <f t="shared" si="32"/>
        <v>7134.826</v>
      </c>
      <c r="DY18" s="14">
        <f t="shared" si="32"/>
        <v>10014.93</v>
      </c>
      <c r="DZ18" s="14">
        <f t="shared" si="32"/>
        <v>4614.884</v>
      </c>
      <c r="EA18" s="57">
        <v>2</v>
      </c>
      <c r="EB18" s="12" t="s">
        <v>21</v>
      </c>
      <c r="EC18" s="24">
        <f t="shared" si="20"/>
        <v>83665.740000000005</v>
      </c>
      <c r="ED18" s="14">
        <v>0</v>
      </c>
      <c r="EE18" s="14">
        <f t="shared" ref="EE18:EN18" si="33">EE17*0.2</f>
        <v>7407.77</v>
      </c>
      <c r="EF18" s="14">
        <f t="shared" si="33"/>
        <v>15289.696</v>
      </c>
      <c r="EG18" s="14">
        <f t="shared" si="33"/>
        <v>10554.928</v>
      </c>
      <c r="EH18" s="14">
        <f t="shared" si="33"/>
        <v>6893.9940000000006</v>
      </c>
      <c r="EI18" s="14">
        <f t="shared" si="33"/>
        <v>9992.4340000000011</v>
      </c>
      <c r="EJ18" s="14">
        <f t="shared" si="33"/>
        <v>9301.5779999999995</v>
      </c>
      <c r="EK18" s="14">
        <f t="shared" si="33"/>
        <v>3369.9800000000005</v>
      </c>
      <c r="EL18" s="14">
        <f t="shared" si="33"/>
        <v>6893.5380000000005</v>
      </c>
      <c r="EM18" s="14">
        <f t="shared" si="33"/>
        <v>9676.978000000001</v>
      </c>
      <c r="EN18" s="14">
        <f t="shared" si="33"/>
        <v>4284.8440000000001</v>
      </c>
      <c r="EO18" s="57">
        <v>2</v>
      </c>
      <c r="EP18" s="12" t="s">
        <v>21</v>
      </c>
      <c r="EQ18" s="24">
        <f t="shared" si="21"/>
        <v>86044.344000000012</v>
      </c>
      <c r="ER18" s="14">
        <v>0</v>
      </c>
      <c r="ES18" s="14">
        <f t="shared" ref="ES18:FB18" si="34">ES17*0.2</f>
        <v>9786.2260000000006</v>
      </c>
      <c r="ET18" s="14">
        <f t="shared" si="34"/>
        <v>8048.9660000000003</v>
      </c>
      <c r="EU18" s="14">
        <f t="shared" si="34"/>
        <v>10683.004000000001</v>
      </c>
      <c r="EV18" s="14">
        <f t="shared" si="34"/>
        <v>13792.170000000002</v>
      </c>
      <c r="EW18" s="14">
        <f t="shared" si="34"/>
        <v>9619.9</v>
      </c>
      <c r="EX18" s="14">
        <f t="shared" si="34"/>
        <v>9460.8320000000003</v>
      </c>
      <c r="EY18" s="14">
        <f t="shared" si="34"/>
        <v>3427.6779999999999</v>
      </c>
      <c r="EZ18" s="14">
        <f t="shared" si="34"/>
        <v>7012.8240000000005</v>
      </c>
      <c r="FA18" s="14">
        <f t="shared" si="34"/>
        <v>9844.4340000000011</v>
      </c>
      <c r="FB18" s="14">
        <f t="shared" si="34"/>
        <v>4368.3100000000004</v>
      </c>
    </row>
    <row r="19" spans="1:158" s="19" customFormat="1" ht="12" x14ac:dyDescent="0.2">
      <c r="A19" s="57">
        <v>3</v>
      </c>
      <c r="B19" s="12" t="s">
        <v>22</v>
      </c>
      <c r="C19" s="24">
        <f t="shared" si="22"/>
        <v>7200.3676000000005</v>
      </c>
      <c r="D19" s="14"/>
      <c r="E19" s="14">
        <f t="shared" si="23"/>
        <v>1121.54198</v>
      </c>
      <c r="F19" s="14">
        <f t="shared" si="24"/>
        <v>1089.4252600000002</v>
      </c>
      <c r="G19" s="14">
        <f t="shared" si="25"/>
        <v>867.64738000000011</v>
      </c>
      <c r="H19" s="14">
        <f t="shared" si="16"/>
        <v>624.08226000000002</v>
      </c>
      <c r="I19" s="14">
        <f t="shared" si="16"/>
        <v>793.88652000000002</v>
      </c>
      <c r="J19" s="14">
        <f t="shared" si="16"/>
        <v>744.74814000000015</v>
      </c>
      <c r="K19" s="14">
        <f t="shared" si="16"/>
        <v>269.81776000000002</v>
      </c>
      <c r="L19" s="14">
        <f t="shared" si="16"/>
        <v>554.91851999999994</v>
      </c>
      <c r="M19" s="14">
        <f t="shared" si="16"/>
        <v>778.95400000000006</v>
      </c>
      <c r="N19" s="14">
        <f t="shared" si="16"/>
        <v>355.34577999999999</v>
      </c>
      <c r="O19" s="57">
        <v>3</v>
      </c>
      <c r="P19" s="12" t="s">
        <v>22</v>
      </c>
      <c r="Q19" s="24">
        <v>225</v>
      </c>
      <c r="R19" s="14"/>
      <c r="S19" s="14">
        <f t="shared" ref="S19:T19" si="35">S17*0.002</f>
        <v>118.74660000000002</v>
      </c>
      <c r="T19" s="14">
        <f t="shared" si="35"/>
        <v>104.99884</v>
      </c>
      <c r="U19" s="57">
        <v>3</v>
      </c>
      <c r="V19" s="12" t="s">
        <v>22</v>
      </c>
      <c r="W19" s="24">
        <f>SUM(Y19:Z19)</f>
        <v>216.52772000000002</v>
      </c>
      <c r="X19" s="14"/>
      <c r="Y19" s="14">
        <f t="shared" ref="Y19:Z19" si="36">Y17*0.002</f>
        <v>126.02478000000001</v>
      </c>
      <c r="Z19" s="14">
        <f t="shared" si="36"/>
        <v>90.502940000000009</v>
      </c>
      <c r="AA19" s="57">
        <v>3</v>
      </c>
      <c r="AB19" s="12" t="s">
        <v>22</v>
      </c>
      <c r="AC19" s="24">
        <f>SUM(AE19:AF19)</f>
        <v>215.55310000000003</v>
      </c>
      <c r="AD19" s="14"/>
      <c r="AE19" s="14">
        <f t="shared" ref="AE19:AF19" si="37">AE17*0.002</f>
        <v>128.70394000000002</v>
      </c>
      <c r="AF19" s="14">
        <f t="shared" si="37"/>
        <v>86.849160000000012</v>
      </c>
      <c r="AG19" s="57">
        <v>3</v>
      </c>
      <c r="AH19" s="12" t="s">
        <v>22</v>
      </c>
      <c r="AI19" s="24">
        <f t="shared" ref="AI19:AI46" si="38">SUM(AK19:AT19)</f>
        <v>198.90816000000001</v>
      </c>
      <c r="AJ19" s="14">
        <v>0</v>
      </c>
      <c r="AK19" s="14">
        <f t="shared" ref="AK19:AL19" si="39">AK17*0.002</f>
        <v>116.19705999999999</v>
      </c>
      <c r="AL19" s="14">
        <f t="shared" si="39"/>
        <v>82.711100000000002</v>
      </c>
      <c r="AM19" s="14">
        <f t="shared" ref="AM19:AT19" si="40">AM17*0.002</f>
        <v>0</v>
      </c>
      <c r="AN19" s="14">
        <f t="shared" si="40"/>
        <v>0</v>
      </c>
      <c r="AO19" s="14">
        <f t="shared" si="40"/>
        <v>0</v>
      </c>
      <c r="AP19" s="14">
        <f t="shared" si="40"/>
        <v>0</v>
      </c>
      <c r="AQ19" s="14">
        <f t="shared" si="40"/>
        <v>0</v>
      </c>
      <c r="AR19" s="14">
        <f t="shared" si="40"/>
        <v>0</v>
      </c>
      <c r="AS19" s="14">
        <f t="shared" si="40"/>
        <v>0</v>
      </c>
      <c r="AT19" s="14">
        <f t="shared" si="40"/>
        <v>0</v>
      </c>
      <c r="AU19" s="57">
        <v>3</v>
      </c>
      <c r="AV19" s="12" t="s">
        <v>22</v>
      </c>
      <c r="AW19" s="24">
        <f t="shared" ref="AW19:AW46" si="41">SUM(AY19:BH19)</f>
        <v>758.68717999999978</v>
      </c>
      <c r="AX19" s="14">
        <v>0</v>
      </c>
      <c r="AY19" s="14">
        <f t="shared" ref="AY19:BH19" si="42">AY17*0.002</f>
        <v>73.950140000000005</v>
      </c>
      <c r="AZ19" s="14">
        <f t="shared" si="42"/>
        <v>83.726699999999994</v>
      </c>
      <c r="BA19" s="14">
        <f t="shared" si="42"/>
        <v>105.44638</v>
      </c>
      <c r="BB19" s="14">
        <f t="shared" si="42"/>
        <v>69.110399999999998</v>
      </c>
      <c r="BC19" s="14">
        <f t="shared" si="42"/>
        <v>95.631079999999997</v>
      </c>
      <c r="BD19" s="14">
        <f t="shared" si="42"/>
        <v>88.808240000000012</v>
      </c>
      <c r="BE19" s="14">
        <f t="shared" si="42"/>
        <v>32.174459999999996</v>
      </c>
      <c r="BF19" s="14">
        <f t="shared" si="42"/>
        <v>68.813779999999994</v>
      </c>
      <c r="BG19" s="14">
        <f t="shared" si="42"/>
        <v>96.599899999999991</v>
      </c>
      <c r="BH19" s="14">
        <f t="shared" si="42"/>
        <v>44.426099999999998</v>
      </c>
      <c r="BI19" s="57">
        <v>3</v>
      </c>
      <c r="BJ19" s="12" t="s">
        <v>22</v>
      </c>
      <c r="BK19" s="24">
        <f t="shared" ref="BK19:BK46" si="43">SUM(BM19:BV19)</f>
        <v>779.56486000000018</v>
      </c>
      <c r="BL19" s="14">
        <v>0</v>
      </c>
      <c r="BM19" s="14">
        <f t="shared" ref="BM19:BV19" si="44">BM17*0.002</f>
        <v>76.022000000000006</v>
      </c>
      <c r="BN19" s="14">
        <f t="shared" si="44"/>
        <v>72.383539999999996</v>
      </c>
      <c r="BO19" s="14">
        <f t="shared" si="44"/>
        <v>108.96164</v>
      </c>
      <c r="BP19" s="14">
        <f t="shared" si="44"/>
        <v>70.067300000000003</v>
      </c>
      <c r="BQ19" s="14">
        <f t="shared" si="44"/>
        <v>104.01572</v>
      </c>
      <c r="BR19" s="14">
        <f t="shared" si="44"/>
        <v>96.825679999999991</v>
      </c>
      <c r="BS19" s="14">
        <f t="shared" si="44"/>
        <v>35.08108</v>
      </c>
      <c r="BT19" s="14">
        <f t="shared" si="44"/>
        <v>71.702619999999996</v>
      </c>
      <c r="BU19" s="14">
        <f t="shared" si="44"/>
        <v>100.65660000000001</v>
      </c>
      <c r="BV19" s="14">
        <f t="shared" si="44"/>
        <v>43.848680000000002</v>
      </c>
      <c r="BW19" s="57">
        <v>3</v>
      </c>
      <c r="BX19" s="12" t="s">
        <v>22</v>
      </c>
      <c r="BY19" s="24">
        <f t="shared" ref="BY19:BY46" si="45">SUM(CA19:CJ19)</f>
        <v>755.78565999999989</v>
      </c>
      <c r="BZ19" s="14">
        <v>0</v>
      </c>
      <c r="CA19" s="14">
        <f t="shared" ref="CA19:CJ19" si="46">CA17*0.002</f>
        <v>77.175579999999997</v>
      </c>
      <c r="CB19" s="14">
        <f t="shared" si="46"/>
        <v>74.17268</v>
      </c>
      <c r="CC19" s="14">
        <f t="shared" si="46"/>
        <v>107.30954</v>
      </c>
      <c r="CD19" s="14">
        <f t="shared" si="46"/>
        <v>65.513080000000002</v>
      </c>
      <c r="CE19" s="14">
        <f t="shared" si="46"/>
        <v>98.559920000000005</v>
      </c>
      <c r="CF19" s="14">
        <f t="shared" si="46"/>
        <v>91.726960000000005</v>
      </c>
      <c r="CG19" s="14">
        <f t="shared" si="46"/>
        <v>33.230620000000002</v>
      </c>
      <c r="CH19" s="14">
        <f t="shared" si="46"/>
        <v>67.979079999999996</v>
      </c>
      <c r="CI19" s="14">
        <f t="shared" si="46"/>
        <v>95.416560000000004</v>
      </c>
      <c r="CJ19" s="14">
        <f t="shared" si="46"/>
        <v>44.701639999999998</v>
      </c>
      <c r="CK19" s="57">
        <v>3</v>
      </c>
      <c r="CL19" s="12" t="s">
        <v>22</v>
      </c>
      <c r="CM19" s="24">
        <f t="shared" si="17"/>
        <v>751.76677999999993</v>
      </c>
      <c r="CN19" s="14">
        <v>0</v>
      </c>
      <c r="CO19" s="14">
        <f t="shared" ref="CO19:CX19" si="47">CO17*0.002</f>
        <v>73.627899999999997</v>
      </c>
      <c r="CP19" s="14">
        <f t="shared" si="47"/>
        <v>87.921999999999997</v>
      </c>
      <c r="CQ19" s="14">
        <f t="shared" si="47"/>
        <v>102.81158000000001</v>
      </c>
      <c r="CR19" s="14">
        <f t="shared" si="47"/>
        <v>64.680120000000002</v>
      </c>
      <c r="CS19" s="14">
        <f t="shared" si="47"/>
        <v>93.68186</v>
      </c>
      <c r="CT19" s="14">
        <f t="shared" si="47"/>
        <v>90.574780000000004</v>
      </c>
      <c r="CU19" s="14">
        <f t="shared" si="47"/>
        <v>32.814879999999995</v>
      </c>
      <c r="CV19" s="14">
        <f t="shared" si="47"/>
        <v>67.109160000000003</v>
      </c>
      <c r="CW19" s="14">
        <f t="shared" si="47"/>
        <v>94.203520000000012</v>
      </c>
      <c r="CX19" s="14">
        <f t="shared" si="47"/>
        <v>44.340980000000002</v>
      </c>
      <c r="CY19" s="57">
        <v>3</v>
      </c>
      <c r="CZ19" s="12" t="s">
        <v>22</v>
      </c>
      <c r="DA19" s="24">
        <f t="shared" si="18"/>
        <v>775.33799999999997</v>
      </c>
      <c r="DB19" s="14">
        <v>0</v>
      </c>
      <c r="DC19" s="14">
        <f t="shared" ref="DC19:DL19" si="48">DC17*0.002</f>
        <v>79.218000000000004</v>
      </c>
      <c r="DD19" s="14">
        <f t="shared" si="48"/>
        <v>79.97</v>
      </c>
      <c r="DE19" s="14">
        <f t="shared" si="48"/>
        <v>109.36200000000001</v>
      </c>
      <c r="DF19" s="14">
        <f t="shared" si="48"/>
        <v>69.16</v>
      </c>
      <c r="DG19" s="14">
        <f t="shared" si="48"/>
        <v>100.026</v>
      </c>
      <c r="DH19" s="14">
        <f t="shared" si="48"/>
        <v>92.960000000000008</v>
      </c>
      <c r="DI19" s="14">
        <f t="shared" si="48"/>
        <v>33.677999999999997</v>
      </c>
      <c r="DJ19" s="14">
        <f t="shared" si="48"/>
        <v>68.902000000000001</v>
      </c>
      <c r="DK19" s="14">
        <f t="shared" si="48"/>
        <v>96.713999999999999</v>
      </c>
      <c r="DL19" s="14">
        <f t="shared" si="48"/>
        <v>45.347999999999999</v>
      </c>
      <c r="DM19" s="57">
        <v>3</v>
      </c>
      <c r="DN19" s="12" t="s">
        <v>22</v>
      </c>
      <c r="DO19" s="24">
        <f t="shared" si="19"/>
        <v>827.38986</v>
      </c>
      <c r="DP19" s="14">
        <v>0</v>
      </c>
      <c r="DQ19" s="14">
        <f t="shared" ref="DQ19:DZ19" si="49">DQ17*0.002</f>
        <v>79.936019999999999</v>
      </c>
      <c r="DR19" s="14">
        <f t="shared" si="49"/>
        <v>92.80167999999999</v>
      </c>
      <c r="DS19" s="14">
        <f t="shared" si="49"/>
        <v>121.37692</v>
      </c>
      <c r="DT19" s="14">
        <f t="shared" si="49"/>
        <v>78.689720000000008</v>
      </c>
      <c r="DU19" s="14">
        <f t="shared" si="49"/>
        <v>105.8486</v>
      </c>
      <c r="DV19" s="14">
        <f t="shared" si="49"/>
        <v>96.228380000000001</v>
      </c>
      <c r="DW19" s="14">
        <f t="shared" si="49"/>
        <v>34.862140000000004</v>
      </c>
      <c r="DX19" s="14">
        <f t="shared" si="49"/>
        <v>71.348259999999996</v>
      </c>
      <c r="DY19" s="14">
        <f t="shared" si="49"/>
        <v>100.14930000000001</v>
      </c>
      <c r="DZ19" s="14">
        <f t="shared" si="49"/>
        <v>46.14884</v>
      </c>
      <c r="EA19" s="57">
        <v>3</v>
      </c>
      <c r="EB19" s="12" t="s">
        <v>22</v>
      </c>
      <c r="EC19" s="24">
        <f t="shared" si="20"/>
        <v>836.65739999999994</v>
      </c>
      <c r="ED19" s="14">
        <v>0</v>
      </c>
      <c r="EE19" s="14">
        <f t="shared" ref="EE19:EN19" si="50">EE17*0.002</f>
        <v>74.077699999999993</v>
      </c>
      <c r="EF19" s="14">
        <f t="shared" si="50"/>
        <v>152.89696000000001</v>
      </c>
      <c r="EG19" s="14">
        <f t="shared" si="50"/>
        <v>105.54928</v>
      </c>
      <c r="EH19" s="14">
        <f t="shared" si="50"/>
        <v>68.939940000000007</v>
      </c>
      <c r="EI19" s="14">
        <f t="shared" si="50"/>
        <v>99.924340000000001</v>
      </c>
      <c r="EJ19" s="14">
        <f t="shared" si="50"/>
        <v>93.015780000000007</v>
      </c>
      <c r="EK19" s="14">
        <f t="shared" si="50"/>
        <v>33.699800000000003</v>
      </c>
      <c r="EL19" s="14">
        <f t="shared" si="50"/>
        <v>68.935380000000009</v>
      </c>
      <c r="EM19" s="14">
        <f t="shared" si="50"/>
        <v>96.769779999999997</v>
      </c>
      <c r="EN19" s="14">
        <f t="shared" si="50"/>
        <v>42.848440000000004</v>
      </c>
      <c r="EO19" s="57">
        <v>3</v>
      </c>
      <c r="EP19" s="12" t="s">
        <v>22</v>
      </c>
      <c r="EQ19" s="24">
        <f t="shared" si="21"/>
        <v>860.44344000000001</v>
      </c>
      <c r="ER19" s="14">
        <v>0</v>
      </c>
      <c r="ES19" s="14">
        <f t="shared" ref="ES19:FB19" si="51">ES17*0.002</f>
        <v>97.862259999999992</v>
      </c>
      <c r="ET19" s="14">
        <f t="shared" si="51"/>
        <v>80.489660000000001</v>
      </c>
      <c r="EU19" s="14">
        <f t="shared" si="51"/>
        <v>106.83004</v>
      </c>
      <c r="EV19" s="14">
        <f t="shared" si="51"/>
        <v>137.92170000000002</v>
      </c>
      <c r="EW19" s="14">
        <f t="shared" si="51"/>
        <v>96.198999999999998</v>
      </c>
      <c r="EX19" s="14">
        <f t="shared" si="51"/>
        <v>94.608320000000006</v>
      </c>
      <c r="EY19" s="14">
        <f t="shared" si="51"/>
        <v>34.276780000000002</v>
      </c>
      <c r="EZ19" s="14">
        <f t="shared" si="51"/>
        <v>70.128240000000005</v>
      </c>
      <c r="FA19" s="14">
        <f t="shared" si="51"/>
        <v>98.444339999999997</v>
      </c>
      <c r="FB19" s="14">
        <f t="shared" si="51"/>
        <v>43.683099999999996</v>
      </c>
    </row>
    <row r="20" spans="1:158" s="19" customFormat="1" ht="12" customHeight="1" x14ac:dyDescent="0.2">
      <c r="A20" s="57">
        <v>4</v>
      </c>
      <c r="B20" s="12" t="s">
        <v>23</v>
      </c>
      <c r="C20" s="24">
        <f t="shared" si="22"/>
        <v>77481</v>
      </c>
      <c r="D20" s="14"/>
      <c r="E20" s="14">
        <f t="shared" si="23"/>
        <v>12859.95</v>
      </c>
      <c r="F20" s="14">
        <f t="shared" si="24"/>
        <v>35396.050000000003</v>
      </c>
      <c r="G20" s="14">
        <f t="shared" si="25"/>
        <v>5043.5</v>
      </c>
      <c r="H20" s="14">
        <f t="shared" si="16"/>
        <v>3370.5</v>
      </c>
      <c r="I20" s="14">
        <f t="shared" si="16"/>
        <v>5467</v>
      </c>
      <c r="J20" s="14">
        <f t="shared" si="16"/>
        <v>4105.5</v>
      </c>
      <c r="K20" s="14">
        <f t="shared" si="16"/>
        <v>1487.5</v>
      </c>
      <c r="L20" s="14">
        <f t="shared" si="16"/>
        <v>3073</v>
      </c>
      <c r="M20" s="14">
        <f t="shared" si="16"/>
        <v>4315.5</v>
      </c>
      <c r="N20" s="14">
        <f t="shared" si="16"/>
        <v>2362.5</v>
      </c>
      <c r="O20" s="57">
        <v>4</v>
      </c>
      <c r="P20" s="12" t="s">
        <v>23</v>
      </c>
      <c r="Q20" s="24">
        <f>SUM(S20:T20)</f>
        <v>0</v>
      </c>
      <c r="R20" s="14">
        <v>0</v>
      </c>
      <c r="S20" s="14">
        <v>0</v>
      </c>
      <c r="T20" s="14">
        <v>0</v>
      </c>
      <c r="U20" s="57">
        <v>4</v>
      </c>
      <c r="V20" s="12" t="s">
        <v>23</v>
      </c>
      <c r="W20" s="24">
        <f>SUM(Y20:Z20)</f>
        <v>0</v>
      </c>
      <c r="X20" s="14">
        <v>0</v>
      </c>
      <c r="Y20" s="14">
        <v>0</v>
      </c>
      <c r="Z20" s="14">
        <v>0</v>
      </c>
      <c r="AA20" s="57">
        <v>4</v>
      </c>
      <c r="AB20" s="12" t="s">
        <v>23</v>
      </c>
      <c r="AC20" s="24">
        <f>SUM(AE20:AF20)</f>
        <v>27481</v>
      </c>
      <c r="AD20" s="14">
        <v>0</v>
      </c>
      <c r="AE20" s="14">
        <v>4837</v>
      </c>
      <c r="AF20" s="14">
        <v>22644</v>
      </c>
      <c r="AG20" s="57">
        <v>4</v>
      </c>
      <c r="AH20" s="12" t="s">
        <v>23</v>
      </c>
      <c r="AI20" s="24">
        <f t="shared" si="38"/>
        <v>15000</v>
      </c>
      <c r="AJ20" s="14">
        <v>0</v>
      </c>
      <c r="AK20" s="14">
        <v>4067.95</v>
      </c>
      <c r="AL20" s="14">
        <v>10932.05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57">
        <v>4</v>
      </c>
      <c r="AV20" s="12" t="s">
        <v>23</v>
      </c>
      <c r="AW20" s="24">
        <f t="shared" si="41"/>
        <v>0</v>
      </c>
      <c r="AX20" s="14">
        <v>0</v>
      </c>
      <c r="AY20" s="14">
        <v>0</v>
      </c>
      <c r="AZ20" s="14">
        <v>0</v>
      </c>
      <c r="BA20" s="14">
        <v>0</v>
      </c>
      <c r="BB20" s="14">
        <v>0</v>
      </c>
      <c r="BC20" s="14">
        <v>0</v>
      </c>
      <c r="BD20" s="14">
        <v>0</v>
      </c>
      <c r="BE20" s="14">
        <v>0</v>
      </c>
      <c r="BF20" s="14">
        <v>0</v>
      </c>
      <c r="BG20" s="14">
        <v>0</v>
      </c>
      <c r="BH20" s="14">
        <v>0</v>
      </c>
      <c r="BI20" s="57">
        <v>4</v>
      </c>
      <c r="BJ20" s="12" t="s">
        <v>23</v>
      </c>
      <c r="BK20" s="24">
        <f t="shared" si="43"/>
        <v>0</v>
      </c>
      <c r="BL20" s="14">
        <v>0</v>
      </c>
      <c r="BM20" s="14">
        <v>0</v>
      </c>
      <c r="BN20" s="14">
        <v>0</v>
      </c>
      <c r="BO20" s="14">
        <v>0</v>
      </c>
      <c r="BP20" s="14">
        <v>0</v>
      </c>
      <c r="BQ20" s="14">
        <v>0</v>
      </c>
      <c r="BR20" s="14">
        <v>0</v>
      </c>
      <c r="BS20" s="14">
        <v>0</v>
      </c>
      <c r="BT20" s="14">
        <v>0</v>
      </c>
      <c r="BU20" s="14">
        <v>0</v>
      </c>
      <c r="BV20" s="14">
        <v>0</v>
      </c>
      <c r="BW20" s="57">
        <v>4</v>
      </c>
      <c r="BX20" s="12" t="s">
        <v>23</v>
      </c>
      <c r="BY20" s="24">
        <f t="shared" si="45"/>
        <v>15000</v>
      </c>
      <c r="BZ20" s="14">
        <v>0</v>
      </c>
      <c r="CA20" s="14">
        <v>1695</v>
      </c>
      <c r="CB20" s="14">
        <v>780</v>
      </c>
      <c r="CC20" s="14">
        <v>2161.5</v>
      </c>
      <c r="CD20" s="14">
        <v>1444.5</v>
      </c>
      <c r="CE20" s="14">
        <v>2343</v>
      </c>
      <c r="CF20" s="14">
        <v>1759.5</v>
      </c>
      <c r="CG20" s="14">
        <v>637.5</v>
      </c>
      <c r="CH20" s="14">
        <v>1317</v>
      </c>
      <c r="CI20" s="14">
        <v>1849.5</v>
      </c>
      <c r="CJ20" s="14">
        <v>1012.5</v>
      </c>
      <c r="CK20" s="57">
        <v>4</v>
      </c>
      <c r="CL20" s="12" t="s">
        <v>23</v>
      </c>
      <c r="CM20" s="24">
        <f t="shared" si="17"/>
        <v>0</v>
      </c>
      <c r="CN20" s="14">
        <v>0</v>
      </c>
      <c r="CO20" s="14">
        <v>0</v>
      </c>
      <c r="CP20" s="14">
        <v>0</v>
      </c>
      <c r="CQ20" s="14">
        <v>0</v>
      </c>
      <c r="CR20" s="14">
        <v>0</v>
      </c>
      <c r="CS20" s="14">
        <v>0</v>
      </c>
      <c r="CT20" s="14">
        <v>0</v>
      </c>
      <c r="CU20" s="14">
        <v>0</v>
      </c>
      <c r="CV20" s="14">
        <v>0</v>
      </c>
      <c r="CW20" s="14">
        <v>0</v>
      </c>
      <c r="CX20" s="14">
        <v>0</v>
      </c>
      <c r="CY20" s="57">
        <v>4</v>
      </c>
      <c r="CZ20" s="12" t="s">
        <v>23</v>
      </c>
      <c r="DA20" s="24">
        <f t="shared" si="18"/>
        <v>0</v>
      </c>
      <c r="DB20" s="14">
        <v>0</v>
      </c>
      <c r="DC20" s="14">
        <v>0</v>
      </c>
      <c r="DD20" s="14">
        <v>0</v>
      </c>
      <c r="DE20" s="14">
        <v>0</v>
      </c>
      <c r="DF20" s="14">
        <v>0</v>
      </c>
      <c r="DG20" s="14">
        <v>0</v>
      </c>
      <c r="DH20" s="14">
        <v>0</v>
      </c>
      <c r="DI20" s="14">
        <v>0</v>
      </c>
      <c r="DJ20" s="14">
        <v>0</v>
      </c>
      <c r="DK20" s="14">
        <v>0</v>
      </c>
      <c r="DL20" s="14">
        <v>0</v>
      </c>
      <c r="DM20" s="57">
        <v>4</v>
      </c>
      <c r="DN20" s="12" t="s">
        <v>23</v>
      </c>
      <c r="DO20" s="24">
        <f t="shared" si="19"/>
        <v>20000</v>
      </c>
      <c r="DP20" s="14">
        <v>0</v>
      </c>
      <c r="DQ20" s="14">
        <v>2260</v>
      </c>
      <c r="DR20" s="14">
        <v>1040</v>
      </c>
      <c r="DS20" s="14">
        <v>2882</v>
      </c>
      <c r="DT20" s="14">
        <v>1926</v>
      </c>
      <c r="DU20" s="14">
        <v>3124</v>
      </c>
      <c r="DV20" s="14">
        <v>2346</v>
      </c>
      <c r="DW20" s="14">
        <v>850</v>
      </c>
      <c r="DX20" s="14">
        <v>1756</v>
      </c>
      <c r="DY20" s="14">
        <v>2466</v>
      </c>
      <c r="DZ20" s="14">
        <v>1350</v>
      </c>
      <c r="EA20" s="57">
        <v>4</v>
      </c>
      <c r="EB20" s="12" t="s">
        <v>23</v>
      </c>
      <c r="EC20" s="24">
        <f t="shared" si="20"/>
        <v>0</v>
      </c>
      <c r="ED20" s="14">
        <v>0</v>
      </c>
      <c r="EE20" s="14">
        <v>0</v>
      </c>
      <c r="EF20" s="14">
        <v>0</v>
      </c>
      <c r="EG20" s="14">
        <v>0</v>
      </c>
      <c r="EH20" s="14">
        <v>0</v>
      </c>
      <c r="EI20" s="14">
        <v>0</v>
      </c>
      <c r="EJ20" s="14">
        <v>0</v>
      </c>
      <c r="EK20" s="14">
        <v>0</v>
      </c>
      <c r="EL20" s="14">
        <v>0</v>
      </c>
      <c r="EM20" s="14">
        <v>0</v>
      </c>
      <c r="EN20" s="14">
        <v>0</v>
      </c>
      <c r="EO20" s="57">
        <v>4</v>
      </c>
      <c r="EP20" s="12" t="s">
        <v>23</v>
      </c>
      <c r="EQ20" s="24">
        <f t="shared" si="21"/>
        <v>0</v>
      </c>
      <c r="ER20" s="14">
        <v>0</v>
      </c>
      <c r="ES20" s="14">
        <v>0</v>
      </c>
      <c r="ET20" s="14">
        <v>0</v>
      </c>
      <c r="EU20" s="14">
        <v>0</v>
      </c>
      <c r="EV20" s="14">
        <v>0</v>
      </c>
      <c r="EW20" s="14">
        <v>0</v>
      </c>
      <c r="EX20" s="14">
        <v>0</v>
      </c>
      <c r="EY20" s="14">
        <v>0</v>
      </c>
      <c r="EZ20" s="14">
        <v>0</v>
      </c>
      <c r="FA20" s="14">
        <v>0</v>
      </c>
      <c r="FB20" s="14">
        <v>0</v>
      </c>
    </row>
    <row r="21" spans="1:158" s="4" customFormat="1" ht="12" customHeight="1" x14ac:dyDescent="0.2">
      <c r="A21" s="57">
        <v>5</v>
      </c>
      <c r="B21" s="12" t="s">
        <v>24</v>
      </c>
      <c r="C21" s="24">
        <f t="shared" si="22"/>
        <v>205597.046</v>
      </c>
      <c r="D21" s="23"/>
      <c r="E21" s="14">
        <f t="shared" si="23"/>
        <v>24221.749999999996</v>
      </c>
      <c r="F21" s="14">
        <f t="shared" si="24"/>
        <v>30072.109999999997</v>
      </c>
      <c r="G21" s="14">
        <f t="shared" si="25"/>
        <v>26111.119999999999</v>
      </c>
      <c r="H21" s="14">
        <f t="shared" si="16"/>
        <v>17449.666000000001</v>
      </c>
      <c r="I21" s="14">
        <f t="shared" si="16"/>
        <v>28303.66</v>
      </c>
      <c r="J21" s="14">
        <f t="shared" si="16"/>
        <v>21254.939999999995</v>
      </c>
      <c r="K21" s="14">
        <f t="shared" si="16"/>
        <v>7701.07</v>
      </c>
      <c r="L21" s="14">
        <f t="shared" si="16"/>
        <v>15909.49</v>
      </c>
      <c r="M21" s="14">
        <f t="shared" si="16"/>
        <v>22342.14</v>
      </c>
      <c r="N21" s="14">
        <f t="shared" si="16"/>
        <v>12231.1</v>
      </c>
      <c r="O21" s="57">
        <v>5</v>
      </c>
      <c r="P21" s="12" t="s">
        <v>24</v>
      </c>
      <c r="Q21" s="24">
        <f>SUM(S21:T21)</f>
        <v>6060.76</v>
      </c>
      <c r="R21" s="14">
        <v>0</v>
      </c>
      <c r="S21" s="14">
        <v>1067.3399999999999</v>
      </c>
      <c r="T21" s="14">
        <v>4993.42</v>
      </c>
      <c r="U21" s="57">
        <v>5</v>
      </c>
      <c r="V21" s="12" t="s">
        <v>24</v>
      </c>
      <c r="W21" s="24">
        <f>SUM(Y21:Z21)</f>
        <v>6428.08</v>
      </c>
      <c r="X21" s="14">
        <v>0</v>
      </c>
      <c r="Y21" s="14">
        <v>998.58</v>
      </c>
      <c r="Z21" s="14">
        <v>5429.5</v>
      </c>
      <c r="AA21" s="57">
        <v>5</v>
      </c>
      <c r="AB21" s="12" t="s">
        <v>24</v>
      </c>
      <c r="AC21" s="24">
        <f>SUM(AE21:AF21)</f>
        <v>6757.6200000000008</v>
      </c>
      <c r="AD21" s="14">
        <v>0</v>
      </c>
      <c r="AE21" s="14">
        <v>903.52</v>
      </c>
      <c r="AF21" s="14">
        <v>5854.1</v>
      </c>
      <c r="AG21" s="57">
        <v>5</v>
      </c>
      <c r="AH21" s="12" t="s">
        <v>24</v>
      </c>
      <c r="AI21" s="24">
        <f t="shared" si="38"/>
        <v>5149.18</v>
      </c>
      <c r="AJ21" s="14">
        <v>0</v>
      </c>
      <c r="AK21" s="14">
        <v>776.55</v>
      </c>
      <c r="AL21" s="14">
        <v>4372.63</v>
      </c>
      <c r="AM21" s="14">
        <v>0</v>
      </c>
      <c r="AN21" s="14">
        <v>0</v>
      </c>
      <c r="AO21" s="14">
        <v>0</v>
      </c>
      <c r="AP21" s="14">
        <v>0</v>
      </c>
      <c r="AQ21" s="14">
        <v>0</v>
      </c>
      <c r="AR21" s="14">
        <v>0</v>
      </c>
      <c r="AS21" s="14">
        <v>0</v>
      </c>
      <c r="AT21" s="14">
        <v>0</v>
      </c>
      <c r="AU21" s="57">
        <v>5</v>
      </c>
      <c r="AV21" s="12" t="s">
        <v>24</v>
      </c>
      <c r="AW21" s="24">
        <f t="shared" si="41"/>
        <v>21303.120000000003</v>
      </c>
      <c r="AX21" s="14">
        <v>0</v>
      </c>
      <c r="AY21" s="14">
        <v>2407.25</v>
      </c>
      <c r="AZ21" s="14">
        <v>1107.76</v>
      </c>
      <c r="BA21" s="14">
        <v>3069.78</v>
      </c>
      <c r="BB21" s="14">
        <v>2051.4899999999998</v>
      </c>
      <c r="BC21" s="14">
        <v>3327.55</v>
      </c>
      <c r="BD21" s="14">
        <v>2498.86</v>
      </c>
      <c r="BE21" s="14">
        <v>905.38</v>
      </c>
      <c r="BF21" s="14">
        <v>1870.41</v>
      </c>
      <c r="BG21" s="14">
        <v>2626.68</v>
      </c>
      <c r="BH21" s="14">
        <v>1437.96</v>
      </c>
      <c r="BI21" s="57">
        <v>5</v>
      </c>
      <c r="BJ21" s="12" t="s">
        <v>24</v>
      </c>
      <c r="BK21" s="24">
        <f t="shared" si="43"/>
        <v>20678.705999999998</v>
      </c>
      <c r="BL21" s="14">
        <v>0</v>
      </c>
      <c r="BM21" s="14">
        <v>2336.6999999999998</v>
      </c>
      <c r="BN21" s="14">
        <v>1075.29</v>
      </c>
      <c r="BO21" s="14">
        <v>2979.8</v>
      </c>
      <c r="BP21" s="14">
        <v>1991.336</v>
      </c>
      <c r="BQ21" s="14">
        <v>3230.02</v>
      </c>
      <c r="BR21" s="14">
        <v>2425.62</v>
      </c>
      <c r="BS21" s="14">
        <v>878.85</v>
      </c>
      <c r="BT21" s="14">
        <v>1815.59</v>
      </c>
      <c r="BU21" s="14">
        <v>2549.69</v>
      </c>
      <c r="BV21" s="14">
        <v>1395.81</v>
      </c>
      <c r="BW21" s="57">
        <v>5</v>
      </c>
      <c r="BX21" s="12" t="s">
        <v>24</v>
      </c>
      <c r="BY21" s="24">
        <f t="shared" si="45"/>
        <v>19780.72</v>
      </c>
      <c r="BZ21" s="14">
        <v>0</v>
      </c>
      <c r="CA21" s="14">
        <v>2235.2199999999998</v>
      </c>
      <c r="CB21" s="14">
        <v>1028.5999999999999</v>
      </c>
      <c r="CC21" s="14">
        <v>2850.4</v>
      </c>
      <c r="CD21" s="14">
        <v>1904.88</v>
      </c>
      <c r="CE21" s="14">
        <v>3089.75</v>
      </c>
      <c r="CF21" s="14">
        <v>2320.2800000000002</v>
      </c>
      <c r="CG21" s="14">
        <v>840.68</v>
      </c>
      <c r="CH21" s="14">
        <v>1736.75</v>
      </c>
      <c r="CI21" s="14">
        <v>2438.96</v>
      </c>
      <c r="CJ21" s="14">
        <v>1335.2</v>
      </c>
      <c r="CK21" s="57">
        <v>5</v>
      </c>
      <c r="CL21" s="12" t="s">
        <v>24</v>
      </c>
      <c r="CM21" s="24">
        <f t="shared" si="17"/>
        <v>21414.99</v>
      </c>
      <c r="CN21" s="14">
        <v>0</v>
      </c>
      <c r="CO21" s="14">
        <v>2419.89</v>
      </c>
      <c r="CP21" s="14">
        <v>1113.58</v>
      </c>
      <c r="CQ21" s="14">
        <v>3085.9</v>
      </c>
      <c r="CR21" s="14">
        <v>2062.2600000000002</v>
      </c>
      <c r="CS21" s="14">
        <v>3345.02</v>
      </c>
      <c r="CT21" s="14">
        <v>2511.98</v>
      </c>
      <c r="CU21" s="14">
        <v>910.14</v>
      </c>
      <c r="CV21" s="14">
        <v>1880.24</v>
      </c>
      <c r="CW21" s="14">
        <v>2640.47</v>
      </c>
      <c r="CX21" s="14">
        <v>1445.51</v>
      </c>
      <c r="CY21" s="57">
        <v>5</v>
      </c>
      <c r="CZ21" s="12" t="s">
        <v>24</v>
      </c>
      <c r="DA21" s="24">
        <f t="shared" si="18"/>
        <v>19769.66</v>
      </c>
      <c r="DB21" s="14">
        <v>0</v>
      </c>
      <c r="DC21" s="14">
        <v>2233.9699999999998</v>
      </c>
      <c r="DD21" s="14">
        <v>1028.02</v>
      </c>
      <c r="DE21" s="14">
        <v>2848.81</v>
      </c>
      <c r="DF21" s="14">
        <v>1903.82</v>
      </c>
      <c r="DG21" s="14">
        <v>3088.02</v>
      </c>
      <c r="DH21" s="14">
        <v>2318.98</v>
      </c>
      <c r="DI21" s="14">
        <v>840.21</v>
      </c>
      <c r="DJ21" s="14">
        <v>1735.78</v>
      </c>
      <c r="DK21" s="14">
        <v>2437.6</v>
      </c>
      <c r="DL21" s="14">
        <v>1334.45</v>
      </c>
      <c r="DM21" s="57">
        <v>5</v>
      </c>
      <c r="DN21" s="12" t="s">
        <v>24</v>
      </c>
      <c r="DO21" s="24">
        <f t="shared" si="19"/>
        <v>23002.019999999997</v>
      </c>
      <c r="DP21" s="14">
        <v>0</v>
      </c>
      <c r="DQ21" s="14">
        <v>2599.23</v>
      </c>
      <c r="DR21" s="14">
        <v>1196.0999999999999</v>
      </c>
      <c r="DS21" s="14">
        <v>3314.59</v>
      </c>
      <c r="DT21" s="14">
        <v>2215.09</v>
      </c>
      <c r="DU21" s="14">
        <v>3592.91</v>
      </c>
      <c r="DV21" s="14">
        <v>2698.14</v>
      </c>
      <c r="DW21" s="14">
        <v>977.59</v>
      </c>
      <c r="DX21" s="14">
        <v>2019.58</v>
      </c>
      <c r="DY21" s="14">
        <v>2836.15</v>
      </c>
      <c r="DZ21" s="14">
        <v>1552.64</v>
      </c>
      <c r="EA21" s="57">
        <v>5</v>
      </c>
      <c r="EB21" s="12" t="s">
        <v>24</v>
      </c>
      <c r="EC21" s="24">
        <f t="shared" si="20"/>
        <v>26177.870000000003</v>
      </c>
      <c r="ED21" s="14">
        <v>0</v>
      </c>
      <c r="EE21" s="14">
        <v>2958.1</v>
      </c>
      <c r="EF21" s="14">
        <v>1361.25</v>
      </c>
      <c r="EG21" s="14">
        <v>3772.23</v>
      </c>
      <c r="EH21" s="14">
        <v>2520.9299999999998</v>
      </c>
      <c r="EI21" s="14">
        <v>4088.98</v>
      </c>
      <c r="EJ21" s="14">
        <v>3070.66</v>
      </c>
      <c r="EK21" s="14">
        <v>1112.56</v>
      </c>
      <c r="EL21" s="14">
        <v>2298.42</v>
      </c>
      <c r="EM21" s="14">
        <v>3227.73</v>
      </c>
      <c r="EN21" s="14">
        <v>1767.01</v>
      </c>
      <c r="EO21" s="57">
        <v>5</v>
      </c>
      <c r="EP21" s="12" t="s">
        <v>24</v>
      </c>
      <c r="EQ21" s="24">
        <f t="shared" si="21"/>
        <v>29074.32</v>
      </c>
      <c r="ER21" s="14">
        <v>0</v>
      </c>
      <c r="ES21" s="14">
        <v>3285.4</v>
      </c>
      <c r="ET21" s="14">
        <v>1511.86</v>
      </c>
      <c r="EU21" s="14">
        <v>4189.6099999999997</v>
      </c>
      <c r="EV21" s="14">
        <v>2799.86</v>
      </c>
      <c r="EW21" s="14">
        <v>4541.41</v>
      </c>
      <c r="EX21" s="14">
        <f>3410.42</f>
        <v>3410.42</v>
      </c>
      <c r="EY21" s="14">
        <v>1235.6600000000001</v>
      </c>
      <c r="EZ21" s="14">
        <v>2552.7199999999998</v>
      </c>
      <c r="FA21" s="14">
        <v>3584.86</v>
      </c>
      <c r="FB21" s="14">
        <v>1962.52</v>
      </c>
    </row>
    <row r="22" spans="1:158" s="4" customFormat="1" ht="12" customHeight="1" x14ac:dyDescent="0.2">
      <c r="A22" s="57">
        <v>6</v>
      </c>
      <c r="B22" s="12" t="s">
        <v>68</v>
      </c>
      <c r="C22" s="24">
        <f t="shared" si="22"/>
        <v>1325862.2199999997</v>
      </c>
      <c r="D22" s="23"/>
      <c r="E22" s="14">
        <f t="shared" si="23"/>
        <v>568142.09</v>
      </c>
      <c r="F22" s="14">
        <f t="shared" si="24"/>
        <v>757720.12999999989</v>
      </c>
      <c r="G22" s="14">
        <f t="shared" si="25"/>
        <v>0</v>
      </c>
      <c r="H22" s="14">
        <f t="shared" si="16"/>
        <v>0</v>
      </c>
      <c r="I22" s="14">
        <f t="shared" si="16"/>
        <v>0</v>
      </c>
      <c r="J22" s="14">
        <f t="shared" si="16"/>
        <v>0</v>
      </c>
      <c r="K22" s="14">
        <f t="shared" si="16"/>
        <v>0</v>
      </c>
      <c r="L22" s="14">
        <f t="shared" si="16"/>
        <v>0</v>
      </c>
      <c r="M22" s="14">
        <f t="shared" si="16"/>
        <v>0</v>
      </c>
      <c r="N22" s="14">
        <f t="shared" si="16"/>
        <v>0</v>
      </c>
      <c r="O22" s="57">
        <v>6</v>
      </c>
      <c r="P22" s="12" t="s">
        <v>68</v>
      </c>
      <c r="Q22" s="24">
        <f t="shared" ref="Q22:Q27" si="52">S22+T22</f>
        <v>177683.03</v>
      </c>
      <c r="R22" s="14"/>
      <c r="S22" s="14"/>
      <c r="T22" s="14">
        <v>177683.03</v>
      </c>
      <c r="U22" s="57">
        <v>6</v>
      </c>
      <c r="V22" s="12" t="s">
        <v>68</v>
      </c>
      <c r="W22" s="24">
        <f t="shared" ref="W22:W27" si="53">Y22+Z22</f>
        <v>320022.95999999996</v>
      </c>
      <c r="X22" s="14"/>
      <c r="Y22" s="14">
        <v>110046.16</v>
      </c>
      <c r="Z22" s="14">
        <v>209976.8</v>
      </c>
      <c r="AA22" s="57">
        <v>6</v>
      </c>
      <c r="AB22" s="12" t="s">
        <v>68</v>
      </c>
      <c r="AC22" s="24">
        <f t="shared" ref="AC22:AC27" si="54">AE22+AF22</f>
        <v>106067.07</v>
      </c>
      <c r="AD22" s="14"/>
      <c r="AE22" s="14">
        <v>106067.07</v>
      </c>
      <c r="AF22" s="14">
        <v>0</v>
      </c>
      <c r="AG22" s="57">
        <v>6</v>
      </c>
      <c r="AH22" s="12" t="s">
        <v>68</v>
      </c>
      <c r="AI22" s="24">
        <f t="shared" si="38"/>
        <v>456183.42</v>
      </c>
      <c r="AJ22" s="14">
        <v>0</v>
      </c>
      <c r="AK22" s="14">
        <v>86123.12</v>
      </c>
      <c r="AL22" s="14">
        <f>212108.94+157951.36</f>
        <v>370060.3</v>
      </c>
      <c r="AM22" s="14">
        <v>0</v>
      </c>
      <c r="AN22" s="14">
        <v>0</v>
      </c>
      <c r="AO22" s="14">
        <v>0</v>
      </c>
      <c r="AP22" s="14">
        <v>0</v>
      </c>
      <c r="AQ22" s="14">
        <v>0</v>
      </c>
      <c r="AR22" s="14">
        <v>0</v>
      </c>
      <c r="AS22" s="14">
        <v>0</v>
      </c>
      <c r="AT22" s="14">
        <v>0</v>
      </c>
      <c r="AU22" s="57">
        <v>6</v>
      </c>
      <c r="AV22" s="12" t="s">
        <v>68</v>
      </c>
      <c r="AW22" s="24">
        <f t="shared" si="41"/>
        <v>83006.990000000005</v>
      </c>
      <c r="AX22" s="14">
        <v>0</v>
      </c>
      <c r="AY22" s="14">
        <v>83006.990000000005</v>
      </c>
      <c r="AZ22" s="14">
        <v>0</v>
      </c>
      <c r="BA22" s="14">
        <v>0</v>
      </c>
      <c r="BB22" s="14">
        <v>0</v>
      </c>
      <c r="BC22" s="14">
        <v>0</v>
      </c>
      <c r="BD22" s="14">
        <v>0</v>
      </c>
      <c r="BE22" s="14">
        <v>0</v>
      </c>
      <c r="BF22" s="14">
        <v>0</v>
      </c>
      <c r="BG22" s="14">
        <v>0</v>
      </c>
      <c r="BH22" s="14">
        <v>0</v>
      </c>
      <c r="BI22" s="57">
        <v>6</v>
      </c>
      <c r="BJ22" s="12" t="s">
        <v>68</v>
      </c>
      <c r="BK22" s="24">
        <f t="shared" si="43"/>
        <v>0</v>
      </c>
      <c r="BL22" s="14">
        <v>0</v>
      </c>
      <c r="BM22" s="14">
        <v>0</v>
      </c>
      <c r="BN22" s="14">
        <v>0</v>
      </c>
      <c r="BO22" s="14">
        <v>0</v>
      </c>
      <c r="BP22" s="14">
        <v>0</v>
      </c>
      <c r="BQ22" s="14">
        <v>0</v>
      </c>
      <c r="BR22" s="14">
        <v>0</v>
      </c>
      <c r="BS22" s="14">
        <v>0</v>
      </c>
      <c r="BT22" s="14">
        <v>0</v>
      </c>
      <c r="BU22" s="14">
        <v>0</v>
      </c>
      <c r="BV22" s="14">
        <v>0</v>
      </c>
      <c r="BW22" s="57">
        <v>6</v>
      </c>
      <c r="BX22" s="12" t="s">
        <v>68</v>
      </c>
      <c r="BY22" s="24">
        <f t="shared" si="45"/>
        <v>48253.1</v>
      </c>
      <c r="BZ22" s="14">
        <v>0</v>
      </c>
      <c r="CA22" s="14">
        <v>48253.1</v>
      </c>
      <c r="CB22" s="14">
        <v>0</v>
      </c>
      <c r="CC22" s="14">
        <v>0</v>
      </c>
      <c r="CD22" s="14">
        <v>0</v>
      </c>
      <c r="CE22" s="14">
        <v>0</v>
      </c>
      <c r="CF22" s="14">
        <v>0</v>
      </c>
      <c r="CG22" s="14">
        <v>0</v>
      </c>
      <c r="CH22" s="14">
        <v>0</v>
      </c>
      <c r="CI22" s="14">
        <v>0</v>
      </c>
      <c r="CJ22" s="14">
        <v>0</v>
      </c>
      <c r="CK22" s="57">
        <v>6</v>
      </c>
      <c r="CL22" s="12" t="s">
        <v>68</v>
      </c>
      <c r="CM22" s="24">
        <f t="shared" si="17"/>
        <v>0</v>
      </c>
      <c r="CN22" s="14">
        <v>0</v>
      </c>
      <c r="CO22" s="14">
        <v>0</v>
      </c>
      <c r="CP22" s="14">
        <v>0</v>
      </c>
      <c r="CQ22" s="14">
        <v>0</v>
      </c>
      <c r="CR22" s="14">
        <v>0</v>
      </c>
      <c r="CS22" s="14">
        <v>0</v>
      </c>
      <c r="CT22" s="14">
        <v>0</v>
      </c>
      <c r="CU22" s="14">
        <v>0</v>
      </c>
      <c r="CV22" s="14">
        <v>0</v>
      </c>
      <c r="CW22" s="14">
        <v>0</v>
      </c>
      <c r="CX22" s="14">
        <v>0</v>
      </c>
      <c r="CY22" s="57">
        <v>6</v>
      </c>
      <c r="CZ22" s="12" t="s">
        <v>68</v>
      </c>
      <c r="DA22" s="24">
        <f t="shared" si="18"/>
        <v>0</v>
      </c>
      <c r="DB22" s="14">
        <v>0</v>
      </c>
      <c r="DC22" s="14">
        <v>0</v>
      </c>
      <c r="DD22" s="14">
        <v>0</v>
      </c>
      <c r="DE22" s="14">
        <v>0</v>
      </c>
      <c r="DF22" s="14">
        <v>0</v>
      </c>
      <c r="DG22" s="14">
        <v>0</v>
      </c>
      <c r="DH22" s="14">
        <v>0</v>
      </c>
      <c r="DI22" s="14">
        <v>0</v>
      </c>
      <c r="DJ22" s="14">
        <v>0</v>
      </c>
      <c r="DK22" s="14">
        <v>0</v>
      </c>
      <c r="DL22" s="14">
        <v>0</v>
      </c>
      <c r="DM22" s="57">
        <v>6</v>
      </c>
      <c r="DN22" s="12" t="s">
        <v>68</v>
      </c>
      <c r="DO22" s="24">
        <f t="shared" si="19"/>
        <v>980.64</v>
      </c>
      <c r="DP22" s="14">
        <v>0</v>
      </c>
      <c r="DQ22" s="14">
        <v>980.64</v>
      </c>
      <c r="DR22" s="14">
        <v>0</v>
      </c>
      <c r="DS22" s="14">
        <v>0</v>
      </c>
      <c r="DT22" s="14">
        <v>0</v>
      </c>
      <c r="DU22" s="14">
        <v>0</v>
      </c>
      <c r="DV22" s="14">
        <v>0</v>
      </c>
      <c r="DW22" s="14">
        <v>0</v>
      </c>
      <c r="DX22" s="14">
        <v>0</v>
      </c>
      <c r="DY22" s="14">
        <v>0</v>
      </c>
      <c r="DZ22" s="14">
        <v>0</v>
      </c>
      <c r="EA22" s="57">
        <v>6</v>
      </c>
      <c r="EB22" s="12" t="s">
        <v>68</v>
      </c>
      <c r="EC22" s="24">
        <f t="shared" si="20"/>
        <v>17618.18</v>
      </c>
      <c r="ED22" s="14">
        <v>0</v>
      </c>
      <c r="EE22" s="14">
        <v>17618.18</v>
      </c>
      <c r="EF22" s="14">
        <v>0</v>
      </c>
      <c r="EG22" s="14">
        <v>0</v>
      </c>
      <c r="EH22" s="14">
        <v>0</v>
      </c>
      <c r="EI22" s="14">
        <v>0</v>
      </c>
      <c r="EJ22" s="14">
        <v>0</v>
      </c>
      <c r="EK22" s="14">
        <v>0</v>
      </c>
      <c r="EL22" s="14">
        <v>0</v>
      </c>
      <c r="EM22" s="14">
        <v>0</v>
      </c>
      <c r="EN22" s="14">
        <v>0</v>
      </c>
      <c r="EO22" s="57">
        <v>6</v>
      </c>
      <c r="EP22" s="12" t="s">
        <v>68</v>
      </c>
      <c r="EQ22" s="24">
        <f t="shared" si="21"/>
        <v>116046.83</v>
      </c>
      <c r="ER22" s="14">
        <v>0</v>
      </c>
      <c r="ES22" s="14">
        <f>43179.34+72867.49</f>
        <v>116046.83</v>
      </c>
      <c r="ET22" s="14">
        <v>0</v>
      </c>
      <c r="EU22" s="14">
        <v>0</v>
      </c>
      <c r="EV22" s="14">
        <v>0</v>
      </c>
      <c r="EW22" s="14">
        <v>0</v>
      </c>
      <c r="EX22" s="14">
        <v>0</v>
      </c>
      <c r="EY22" s="14">
        <v>0</v>
      </c>
      <c r="EZ22" s="14">
        <v>0</v>
      </c>
      <c r="FA22" s="14">
        <v>0</v>
      </c>
      <c r="FB22" s="14">
        <v>0</v>
      </c>
    </row>
    <row r="23" spans="1:158" s="4" customFormat="1" ht="12" customHeight="1" x14ac:dyDescent="0.2">
      <c r="A23" s="57">
        <v>7</v>
      </c>
      <c r="B23" s="12" t="s">
        <v>69</v>
      </c>
      <c r="C23" s="24">
        <f t="shared" si="22"/>
        <v>34532.25</v>
      </c>
      <c r="D23" s="23"/>
      <c r="E23" s="14">
        <f t="shared" si="23"/>
        <v>34532.25</v>
      </c>
      <c r="F23" s="14">
        <f t="shared" si="24"/>
        <v>0</v>
      </c>
      <c r="G23" s="14">
        <f t="shared" si="25"/>
        <v>0</v>
      </c>
      <c r="H23" s="14">
        <f t="shared" si="16"/>
        <v>0</v>
      </c>
      <c r="I23" s="14">
        <f t="shared" si="16"/>
        <v>0</v>
      </c>
      <c r="J23" s="14">
        <f t="shared" si="16"/>
        <v>0</v>
      </c>
      <c r="K23" s="14">
        <f t="shared" si="16"/>
        <v>0</v>
      </c>
      <c r="L23" s="14">
        <f t="shared" si="16"/>
        <v>0</v>
      </c>
      <c r="M23" s="14">
        <f t="shared" si="16"/>
        <v>0</v>
      </c>
      <c r="N23" s="14">
        <f t="shared" si="16"/>
        <v>0</v>
      </c>
      <c r="O23" s="57">
        <v>7</v>
      </c>
      <c r="P23" s="12" t="s">
        <v>69</v>
      </c>
      <c r="Q23" s="24">
        <f t="shared" si="52"/>
        <v>0</v>
      </c>
      <c r="R23" s="14"/>
      <c r="S23" s="14">
        <v>0</v>
      </c>
      <c r="T23" s="14">
        <v>0</v>
      </c>
      <c r="U23" s="57">
        <v>7</v>
      </c>
      <c r="V23" s="12" t="s">
        <v>69</v>
      </c>
      <c r="W23" s="24">
        <f t="shared" si="53"/>
        <v>13745.25</v>
      </c>
      <c r="X23" s="14"/>
      <c r="Y23" s="14">
        <v>13745.25</v>
      </c>
      <c r="Z23" s="14">
        <v>0</v>
      </c>
      <c r="AA23" s="57">
        <v>7</v>
      </c>
      <c r="AB23" s="12" t="s">
        <v>69</v>
      </c>
      <c r="AC23" s="24">
        <f t="shared" si="54"/>
        <v>10424.25</v>
      </c>
      <c r="AD23" s="14"/>
      <c r="AE23" s="14">
        <v>10424.25</v>
      </c>
      <c r="AF23" s="14">
        <v>0</v>
      </c>
      <c r="AG23" s="57">
        <v>7</v>
      </c>
      <c r="AH23" s="12" t="s">
        <v>69</v>
      </c>
      <c r="AI23" s="24">
        <f t="shared" si="38"/>
        <v>10362.75</v>
      </c>
      <c r="AJ23" s="14">
        <v>0</v>
      </c>
      <c r="AK23" s="14">
        <v>10362.75</v>
      </c>
      <c r="AL23" s="14">
        <v>0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4">
        <v>0</v>
      </c>
      <c r="AT23" s="14">
        <v>0</v>
      </c>
      <c r="AU23" s="57">
        <v>7</v>
      </c>
      <c r="AV23" s="12" t="s">
        <v>69</v>
      </c>
      <c r="AW23" s="24">
        <f t="shared" si="41"/>
        <v>0</v>
      </c>
      <c r="AX23" s="14">
        <v>0</v>
      </c>
      <c r="AY23" s="14">
        <v>0</v>
      </c>
      <c r="AZ23" s="14">
        <v>0</v>
      </c>
      <c r="BA23" s="14">
        <v>0</v>
      </c>
      <c r="BB23" s="14">
        <v>0</v>
      </c>
      <c r="BC23" s="14">
        <v>0</v>
      </c>
      <c r="BD23" s="14">
        <v>0</v>
      </c>
      <c r="BE23" s="14">
        <v>0</v>
      </c>
      <c r="BF23" s="14">
        <v>0</v>
      </c>
      <c r="BG23" s="14">
        <v>0</v>
      </c>
      <c r="BH23" s="14">
        <v>0</v>
      </c>
      <c r="BI23" s="57">
        <v>7</v>
      </c>
      <c r="BJ23" s="12" t="s">
        <v>69</v>
      </c>
      <c r="BK23" s="24">
        <f t="shared" si="43"/>
        <v>0</v>
      </c>
      <c r="BL23" s="14">
        <v>0</v>
      </c>
      <c r="BM23" s="14">
        <v>0</v>
      </c>
      <c r="BN23" s="14">
        <v>0</v>
      </c>
      <c r="BO23" s="14">
        <v>0</v>
      </c>
      <c r="BP23" s="14">
        <v>0</v>
      </c>
      <c r="BQ23" s="14">
        <v>0</v>
      </c>
      <c r="BR23" s="14">
        <v>0</v>
      </c>
      <c r="BS23" s="14">
        <v>0</v>
      </c>
      <c r="BT23" s="14">
        <v>0</v>
      </c>
      <c r="BU23" s="14">
        <v>0</v>
      </c>
      <c r="BV23" s="14">
        <v>0</v>
      </c>
      <c r="BW23" s="57">
        <v>7</v>
      </c>
      <c r="BX23" s="12" t="s">
        <v>69</v>
      </c>
      <c r="BY23" s="24">
        <f t="shared" si="45"/>
        <v>0</v>
      </c>
      <c r="BZ23" s="14">
        <v>0</v>
      </c>
      <c r="CA23" s="14">
        <v>0</v>
      </c>
      <c r="CB23" s="14">
        <v>0</v>
      </c>
      <c r="CC23" s="14">
        <v>0</v>
      </c>
      <c r="CD23" s="14">
        <v>0</v>
      </c>
      <c r="CE23" s="14">
        <v>0</v>
      </c>
      <c r="CF23" s="14">
        <v>0</v>
      </c>
      <c r="CG23" s="14">
        <v>0</v>
      </c>
      <c r="CH23" s="14">
        <v>0</v>
      </c>
      <c r="CI23" s="14">
        <v>0</v>
      </c>
      <c r="CJ23" s="14">
        <v>0</v>
      </c>
      <c r="CK23" s="57">
        <v>7</v>
      </c>
      <c r="CL23" s="12" t="s">
        <v>69</v>
      </c>
      <c r="CM23" s="24">
        <f t="shared" ref="CM23:CM45" si="55">SUM(CO23:CX23)</f>
        <v>0</v>
      </c>
      <c r="CN23" s="14">
        <v>0</v>
      </c>
      <c r="CO23" s="14">
        <v>0</v>
      </c>
      <c r="CP23" s="14">
        <v>0</v>
      </c>
      <c r="CQ23" s="14">
        <v>0</v>
      </c>
      <c r="CR23" s="14">
        <v>0</v>
      </c>
      <c r="CS23" s="14">
        <v>0</v>
      </c>
      <c r="CT23" s="14">
        <v>0</v>
      </c>
      <c r="CU23" s="14">
        <v>0</v>
      </c>
      <c r="CV23" s="14">
        <v>0</v>
      </c>
      <c r="CW23" s="14">
        <v>0</v>
      </c>
      <c r="CX23" s="14">
        <v>0</v>
      </c>
      <c r="CY23" s="57">
        <v>7</v>
      </c>
      <c r="CZ23" s="12" t="s">
        <v>69</v>
      </c>
      <c r="DA23" s="24">
        <f t="shared" ref="DA23:DA25" si="56">SUM(DC23:DL23)</f>
        <v>0</v>
      </c>
      <c r="DB23" s="14">
        <v>0</v>
      </c>
      <c r="DC23" s="14">
        <v>0</v>
      </c>
      <c r="DD23" s="14">
        <v>0</v>
      </c>
      <c r="DE23" s="14">
        <v>0</v>
      </c>
      <c r="DF23" s="14">
        <v>0</v>
      </c>
      <c r="DG23" s="14">
        <v>0</v>
      </c>
      <c r="DH23" s="14">
        <v>0</v>
      </c>
      <c r="DI23" s="14">
        <v>0</v>
      </c>
      <c r="DJ23" s="14">
        <v>0</v>
      </c>
      <c r="DK23" s="14">
        <v>0</v>
      </c>
      <c r="DL23" s="14">
        <v>0</v>
      </c>
      <c r="DM23" s="57">
        <v>7</v>
      </c>
      <c r="DN23" s="12" t="s">
        <v>69</v>
      </c>
      <c r="DO23" s="24">
        <f t="shared" ref="DO23:DO25" si="57">SUM(DQ23:DZ23)</f>
        <v>0</v>
      </c>
      <c r="DP23" s="14">
        <v>0</v>
      </c>
      <c r="DQ23" s="14">
        <v>0</v>
      </c>
      <c r="DR23" s="14">
        <v>0</v>
      </c>
      <c r="DS23" s="14">
        <v>0</v>
      </c>
      <c r="DT23" s="14">
        <v>0</v>
      </c>
      <c r="DU23" s="14">
        <v>0</v>
      </c>
      <c r="DV23" s="14">
        <v>0</v>
      </c>
      <c r="DW23" s="14">
        <v>0</v>
      </c>
      <c r="DX23" s="14">
        <v>0</v>
      </c>
      <c r="DY23" s="14">
        <v>0</v>
      </c>
      <c r="DZ23" s="14">
        <v>0</v>
      </c>
      <c r="EA23" s="57">
        <v>7</v>
      </c>
      <c r="EB23" s="12" t="s">
        <v>69</v>
      </c>
      <c r="EC23" s="24">
        <f t="shared" ref="EC23:EC25" si="58">SUM(EE23:EN23)</f>
        <v>0</v>
      </c>
      <c r="ED23" s="14">
        <v>0</v>
      </c>
      <c r="EE23" s="14">
        <v>0</v>
      </c>
      <c r="EF23" s="14">
        <v>0</v>
      </c>
      <c r="EG23" s="14">
        <v>0</v>
      </c>
      <c r="EH23" s="14">
        <v>0</v>
      </c>
      <c r="EI23" s="14">
        <v>0</v>
      </c>
      <c r="EJ23" s="14">
        <v>0</v>
      </c>
      <c r="EK23" s="14">
        <v>0</v>
      </c>
      <c r="EL23" s="14">
        <v>0</v>
      </c>
      <c r="EM23" s="14">
        <v>0</v>
      </c>
      <c r="EN23" s="14">
        <v>0</v>
      </c>
      <c r="EO23" s="57">
        <v>7</v>
      </c>
      <c r="EP23" s="12" t="s">
        <v>69</v>
      </c>
      <c r="EQ23" s="24">
        <f t="shared" ref="EQ23:EQ25" si="59">SUM(ES23:FB23)</f>
        <v>0</v>
      </c>
      <c r="ER23" s="14">
        <v>0</v>
      </c>
      <c r="ES23" s="14">
        <v>0</v>
      </c>
      <c r="ET23" s="14">
        <v>0</v>
      </c>
      <c r="EU23" s="14">
        <v>0</v>
      </c>
      <c r="EV23" s="14">
        <v>0</v>
      </c>
      <c r="EW23" s="14">
        <v>0</v>
      </c>
      <c r="EX23" s="14">
        <v>0</v>
      </c>
      <c r="EY23" s="14">
        <v>0</v>
      </c>
      <c r="EZ23" s="14">
        <v>0</v>
      </c>
      <c r="FA23" s="14">
        <v>0</v>
      </c>
      <c r="FB23" s="14">
        <v>0</v>
      </c>
    </row>
    <row r="24" spans="1:158" s="4" customFormat="1" ht="12" customHeight="1" x14ac:dyDescent="0.2">
      <c r="A24" s="57">
        <v>8</v>
      </c>
      <c r="B24" s="12" t="s">
        <v>65</v>
      </c>
      <c r="C24" s="24">
        <f t="shared" si="22"/>
        <v>34392.800000000003</v>
      </c>
      <c r="D24" s="23"/>
      <c r="E24" s="14">
        <f t="shared" si="23"/>
        <v>22272.16</v>
      </c>
      <c r="F24" s="14">
        <f t="shared" si="24"/>
        <v>12120.64</v>
      </c>
      <c r="G24" s="14">
        <f t="shared" si="25"/>
        <v>0</v>
      </c>
      <c r="H24" s="14">
        <f t="shared" si="16"/>
        <v>0</v>
      </c>
      <c r="I24" s="14">
        <f t="shared" si="16"/>
        <v>0</v>
      </c>
      <c r="J24" s="14">
        <f t="shared" si="16"/>
        <v>0</v>
      </c>
      <c r="K24" s="14">
        <f t="shared" si="16"/>
        <v>0</v>
      </c>
      <c r="L24" s="14">
        <f t="shared" si="16"/>
        <v>0</v>
      </c>
      <c r="M24" s="14">
        <f t="shared" si="16"/>
        <v>0</v>
      </c>
      <c r="N24" s="14">
        <f t="shared" si="16"/>
        <v>0</v>
      </c>
      <c r="O24" s="57">
        <v>8</v>
      </c>
      <c r="P24" s="12" t="s">
        <v>65</v>
      </c>
      <c r="Q24" s="24">
        <f t="shared" si="52"/>
        <v>8262.16</v>
      </c>
      <c r="R24" s="14"/>
      <c r="S24" s="14">
        <v>5232</v>
      </c>
      <c r="T24" s="14">
        <v>3030.16</v>
      </c>
      <c r="U24" s="57">
        <v>8</v>
      </c>
      <c r="V24" s="12" t="s">
        <v>65</v>
      </c>
      <c r="W24" s="24">
        <f t="shared" si="53"/>
        <v>8262.16</v>
      </c>
      <c r="X24" s="14"/>
      <c r="Y24" s="14">
        <v>5232</v>
      </c>
      <c r="Z24" s="14">
        <v>3030.16</v>
      </c>
      <c r="AA24" s="57">
        <v>8</v>
      </c>
      <c r="AB24" s="12" t="s">
        <v>65</v>
      </c>
      <c r="AC24" s="24">
        <f t="shared" si="54"/>
        <v>8262.16</v>
      </c>
      <c r="AD24" s="14"/>
      <c r="AE24" s="14">
        <v>5232</v>
      </c>
      <c r="AF24" s="14">
        <v>3030.16</v>
      </c>
      <c r="AG24" s="57">
        <v>8</v>
      </c>
      <c r="AH24" s="12" t="s">
        <v>65</v>
      </c>
      <c r="AI24" s="24">
        <f t="shared" si="38"/>
        <v>9606.32</v>
      </c>
      <c r="AJ24" s="14">
        <v>0</v>
      </c>
      <c r="AK24" s="14">
        <v>6576.16</v>
      </c>
      <c r="AL24" s="14">
        <v>3030.16</v>
      </c>
      <c r="AM24" s="14">
        <v>0</v>
      </c>
      <c r="AN24" s="14">
        <v>0</v>
      </c>
      <c r="AO24" s="14">
        <v>0</v>
      </c>
      <c r="AP24" s="14">
        <v>0</v>
      </c>
      <c r="AQ24" s="14">
        <v>0</v>
      </c>
      <c r="AR24" s="14">
        <v>0</v>
      </c>
      <c r="AS24" s="14">
        <v>0</v>
      </c>
      <c r="AT24" s="14">
        <v>0</v>
      </c>
      <c r="AU24" s="57">
        <v>8</v>
      </c>
      <c r="AV24" s="12" t="s">
        <v>65</v>
      </c>
      <c r="AW24" s="24">
        <f t="shared" si="41"/>
        <v>0</v>
      </c>
      <c r="AX24" s="14">
        <v>0</v>
      </c>
      <c r="AY24" s="14">
        <v>0</v>
      </c>
      <c r="AZ24" s="14">
        <v>0</v>
      </c>
      <c r="BA24" s="14">
        <v>0</v>
      </c>
      <c r="BB24" s="14">
        <v>0</v>
      </c>
      <c r="BC24" s="14">
        <v>0</v>
      </c>
      <c r="BD24" s="14">
        <v>0</v>
      </c>
      <c r="BE24" s="14">
        <v>0</v>
      </c>
      <c r="BF24" s="14">
        <v>0</v>
      </c>
      <c r="BG24" s="14">
        <v>0</v>
      </c>
      <c r="BH24" s="14">
        <v>0</v>
      </c>
      <c r="BI24" s="57">
        <v>8</v>
      </c>
      <c r="BJ24" s="12" t="s">
        <v>65</v>
      </c>
      <c r="BK24" s="24">
        <f t="shared" si="43"/>
        <v>0</v>
      </c>
      <c r="BL24" s="14">
        <v>0</v>
      </c>
      <c r="BM24" s="14">
        <v>0</v>
      </c>
      <c r="BN24" s="14">
        <v>0</v>
      </c>
      <c r="BO24" s="14">
        <v>0</v>
      </c>
      <c r="BP24" s="14">
        <v>0</v>
      </c>
      <c r="BQ24" s="14">
        <v>0</v>
      </c>
      <c r="BR24" s="14">
        <v>0</v>
      </c>
      <c r="BS24" s="14">
        <v>0</v>
      </c>
      <c r="BT24" s="14">
        <v>0</v>
      </c>
      <c r="BU24" s="14">
        <v>0</v>
      </c>
      <c r="BV24" s="14">
        <v>0</v>
      </c>
      <c r="BW24" s="57">
        <v>8</v>
      </c>
      <c r="BX24" s="12" t="s">
        <v>65</v>
      </c>
      <c r="BY24" s="24">
        <f t="shared" si="45"/>
        <v>0</v>
      </c>
      <c r="BZ24" s="14">
        <v>0</v>
      </c>
      <c r="CA24" s="14">
        <v>0</v>
      </c>
      <c r="CB24" s="14">
        <v>0</v>
      </c>
      <c r="CC24" s="14">
        <v>0</v>
      </c>
      <c r="CD24" s="14">
        <v>0</v>
      </c>
      <c r="CE24" s="14">
        <v>0</v>
      </c>
      <c r="CF24" s="14">
        <v>0</v>
      </c>
      <c r="CG24" s="14">
        <v>0</v>
      </c>
      <c r="CH24" s="14">
        <v>0</v>
      </c>
      <c r="CI24" s="14">
        <v>0</v>
      </c>
      <c r="CJ24" s="14">
        <v>0</v>
      </c>
      <c r="CK24" s="57">
        <v>8</v>
      </c>
      <c r="CL24" s="12" t="s">
        <v>65</v>
      </c>
      <c r="CM24" s="24">
        <f t="shared" si="55"/>
        <v>0</v>
      </c>
      <c r="CN24" s="14">
        <v>0</v>
      </c>
      <c r="CO24" s="14">
        <v>0</v>
      </c>
      <c r="CP24" s="14">
        <v>0</v>
      </c>
      <c r="CQ24" s="14">
        <v>0</v>
      </c>
      <c r="CR24" s="14">
        <v>0</v>
      </c>
      <c r="CS24" s="14">
        <v>0</v>
      </c>
      <c r="CT24" s="14">
        <v>0</v>
      </c>
      <c r="CU24" s="14">
        <v>0</v>
      </c>
      <c r="CV24" s="14">
        <v>0</v>
      </c>
      <c r="CW24" s="14">
        <v>0</v>
      </c>
      <c r="CX24" s="14">
        <v>0</v>
      </c>
      <c r="CY24" s="57">
        <v>8</v>
      </c>
      <c r="CZ24" s="12" t="s">
        <v>65</v>
      </c>
      <c r="DA24" s="24">
        <f t="shared" si="56"/>
        <v>0</v>
      </c>
      <c r="DB24" s="14">
        <v>0</v>
      </c>
      <c r="DC24" s="14">
        <v>0</v>
      </c>
      <c r="DD24" s="14">
        <v>0</v>
      </c>
      <c r="DE24" s="14">
        <v>0</v>
      </c>
      <c r="DF24" s="14">
        <v>0</v>
      </c>
      <c r="DG24" s="14">
        <v>0</v>
      </c>
      <c r="DH24" s="14">
        <v>0</v>
      </c>
      <c r="DI24" s="14">
        <v>0</v>
      </c>
      <c r="DJ24" s="14">
        <v>0</v>
      </c>
      <c r="DK24" s="14">
        <v>0</v>
      </c>
      <c r="DL24" s="14">
        <v>0</v>
      </c>
      <c r="DM24" s="57">
        <v>8</v>
      </c>
      <c r="DN24" s="12" t="s">
        <v>65</v>
      </c>
      <c r="DO24" s="24">
        <f t="shared" si="57"/>
        <v>0</v>
      </c>
      <c r="DP24" s="14">
        <v>0</v>
      </c>
      <c r="DQ24" s="14">
        <v>0</v>
      </c>
      <c r="DR24" s="14">
        <v>0</v>
      </c>
      <c r="DS24" s="14">
        <v>0</v>
      </c>
      <c r="DT24" s="14">
        <v>0</v>
      </c>
      <c r="DU24" s="14">
        <v>0</v>
      </c>
      <c r="DV24" s="14">
        <v>0</v>
      </c>
      <c r="DW24" s="14">
        <v>0</v>
      </c>
      <c r="DX24" s="14">
        <v>0</v>
      </c>
      <c r="DY24" s="14">
        <v>0</v>
      </c>
      <c r="DZ24" s="14">
        <v>0</v>
      </c>
      <c r="EA24" s="57">
        <v>8</v>
      </c>
      <c r="EB24" s="12" t="s">
        <v>65</v>
      </c>
      <c r="EC24" s="24">
        <f t="shared" si="58"/>
        <v>0</v>
      </c>
      <c r="ED24" s="14">
        <v>0</v>
      </c>
      <c r="EE24" s="14">
        <v>0</v>
      </c>
      <c r="EF24" s="14">
        <v>0</v>
      </c>
      <c r="EG24" s="14">
        <v>0</v>
      </c>
      <c r="EH24" s="14">
        <v>0</v>
      </c>
      <c r="EI24" s="14">
        <v>0</v>
      </c>
      <c r="EJ24" s="14">
        <v>0</v>
      </c>
      <c r="EK24" s="14">
        <v>0</v>
      </c>
      <c r="EL24" s="14">
        <v>0</v>
      </c>
      <c r="EM24" s="14">
        <v>0</v>
      </c>
      <c r="EN24" s="14">
        <v>0</v>
      </c>
      <c r="EO24" s="57">
        <v>8</v>
      </c>
      <c r="EP24" s="12" t="s">
        <v>65</v>
      </c>
      <c r="EQ24" s="24">
        <f t="shared" si="59"/>
        <v>0</v>
      </c>
      <c r="ER24" s="14">
        <v>0</v>
      </c>
      <c r="ES24" s="14">
        <v>0</v>
      </c>
      <c r="ET24" s="14">
        <v>0</v>
      </c>
      <c r="EU24" s="14">
        <v>0</v>
      </c>
      <c r="EV24" s="14">
        <v>0</v>
      </c>
      <c r="EW24" s="14">
        <v>0</v>
      </c>
      <c r="EX24" s="14">
        <v>0</v>
      </c>
      <c r="EY24" s="14">
        <v>0</v>
      </c>
      <c r="EZ24" s="14">
        <v>0</v>
      </c>
      <c r="FA24" s="14">
        <v>0</v>
      </c>
      <c r="FB24" s="14">
        <v>0</v>
      </c>
    </row>
    <row r="25" spans="1:158" s="4" customFormat="1" ht="12" customHeight="1" x14ac:dyDescent="0.2">
      <c r="A25" s="57">
        <v>9</v>
      </c>
      <c r="B25" s="12" t="s">
        <v>66</v>
      </c>
      <c r="C25" s="24">
        <f t="shared" si="22"/>
        <v>80231.98</v>
      </c>
      <c r="D25" s="23"/>
      <c r="E25" s="14">
        <f t="shared" si="23"/>
        <v>30782.78</v>
      </c>
      <c r="F25" s="14">
        <f t="shared" si="24"/>
        <v>49449.2</v>
      </c>
      <c r="G25" s="14">
        <f t="shared" si="25"/>
        <v>0</v>
      </c>
      <c r="H25" s="14">
        <f t="shared" si="16"/>
        <v>0</v>
      </c>
      <c r="I25" s="14">
        <f t="shared" si="16"/>
        <v>0</v>
      </c>
      <c r="J25" s="14">
        <f t="shared" si="16"/>
        <v>0</v>
      </c>
      <c r="K25" s="14">
        <f t="shared" si="16"/>
        <v>0</v>
      </c>
      <c r="L25" s="14">
        <f t="shared" si="16"/>
        <v>0</v>
      </c>
      <c r="M25" s="14">
        <f t="shared" si="16"/>
        <v>0</v>
      </c>
      <c r="N25" s="14">
        <f t="shared" si="16"/>
        <v>0</v>
      </c>
      <c r="O25" s="57">
        <v>9</v>
      </c>
      <c r="P25" s="12" t="s">
        <v>66</v>
      </c>
      <c r="Q25" s="24">
        <f t="shared" si="52"/>
        <v>17040</v>
      </c>
      <c r="R25" s="14"/>
      <c r="S25" s="14">
        <v>6122.5</v>
      </c>
      <c r="T25" s="14">
        <v>10917.5</v>
      </c>
      <c r="U25" s="57">
        <v>9</v>
      </c>
      <c r="V25" s="12" t="s">
        <v>66</v>
      </c>
      <c r="W25" s="24">
        <f t="shared" si="53"/>
        <v>21749</v>
      </c>
      <c r="X25" s="14"/>
      <c r="Y25" s="14">
        <v>8476.9699999999993</v>
      </c>
      <c r="Z25" s="14">
        <v>13272.03</v>
      </c>
      <c r="AA25" s="57">
        <v>9</v>
      </c>
      <c r="AB25" s="12" t="s">
        <v>66</v>
      </c>
      <c r="AC25" s="24">
        <f t="shared" si="54"/>
        <v>19693.98</v>
      </c>
      <c r="AD25" s="14"/>
      <c r="AE25" s="14">
        <v>7706.34</v>
      </c>
      <c r="AF25" s="14">
        <v>11987.64</v>
      </c>
      <c r="AG25" s="57">
        <v>9</v>
      </c>
      <c r="AH25" s="12" t="s">
        <v>66</v>
      </c>
      <c r="AI25" s="24">
        <f t="shared" si="38"/>
        <v>21749</v>
      </c>
      <c r="AJ25" s="14">
        <v>0</v>
      </c>
      <c r="AK25" s="14">
        <v>8476.9699999999993</v>
      </c>
      <c r="AL25" s="14">
        <v>13272.03</v>
      </c>
      <c r="AM25" s="14">
        <v>0</v>
      </c>
      <c r="AN25" s="14">
        <v>0</v>
      </c>
      <c r="AO25" s="14">
        <v>0</v>
      </c>
      <c r="AP25" s="14">
        <v>0</v>
      </c>
      <c r="AQ25" s="14">
        <v>0</v>
      </c>
      <c r="AR25" s="14">
        <v>0</v>
      </c>
      <c r="AS25" s="14">
        <v>0</v>
      </c>
      <c r="AT25" s="14">
        <v>0</v>
      </c>
      <c r="AU25" s="57">
        <v>9</v>
      </c>
      <c r="AV25" s="12" t="s">
        <v>66</v>
      </c>
      <c r="AW25" s="24">
        <f t="shared" si="41"/>
        <v>0</v>
      </c>
      <c r="AX25" s="14">
        <v>0</v>
      </c>
      <c r="AY25" s="14">
        <v>0</v>
      </c>
      <c r="AZ25" s="14">
        <v>0</v>
      </c>
      <c r="BA25" s="14">
        <v>0</v>
      </c>
      <c r="BB25" s="14">
        <v>0</v>
      </c>
      <c r="BC25" s="14">
        <v>0</v>
      </c>
      <c r="BD25" s="14">
        <v>0</v>
      </c>
      <c r="BE25" s="14">
        <v>0</v>
      </c>
      <c r="BF25" s="14">
        <v>0</v>
      </c>
      <c r="BG25" s="14">
        <v>0</v>
      </c>
      <c r="BH25" s="14">
        <v>0</v>
      </c>
      <c r="BI25" s="57">
        <v>9</v>
      </c>
      <c r="BJ25" s="12" t="s">
        <v>66</v>
      </c>
      <c r="BK25" s="24">
        <f t="shared" si="43"/>
        <v>0</v>
      </c>
      <c r="BL25" s="14">
        <v>0</v>
      </c>
      <c r="BM25" s="14">
        <v>0</v>
      </c>
      <c r="BN25" s="14">
        <v>0</v>
      </c>
      <c r="BO25" s="14">
        <v>0</v>
      </c>
      <c r="BP25" s="14">
        <v>0</v>
      </c>
      <c r="BQ25" s="14">
        <v>0</v>
      </c>
      <c r="BR25" s="14">
        <v>0</v>
      </c>
      <c r="BS25" s="14">
        <v>0</v>
      </c>
      <c r="BT25" s="14">
        <v>0</v>
      </c>
      <c r="BU25" s="14">
        <v>0</v>
      </c>
      <c r="BV25" s="14">
        <v>0</v>
      </c>
      <c r="BW25" s="57">
        <v>9</v>
      </c>
      <c r="BX25" s="12" t="s">
        <v>66</v>
      </c>
      <c r="BY25" s="24">
        <f t="shared" si="45"/>
        <v>0</v>
      </c>
      <c r="BZ25" s="14">
        <v>0</v>
      </c>
      <c r="CA25" s="14">
        <v>0</v>
      </c>
      <c r="CB25" s="14">
        <v>0</v>
      </c>
      <c r="CC25" s="14">
        <v>0</v>
      </c>
      <c r="CD25" s="14">
        <v>0</v>
      </c>
      <c r="CE25" s="14">
        <v>0</v>
      </c>
      <c r="CF25" s="14">
        <v>0</v>
      </c>
      <c r="CG25" s="14">
        <v>0</v>
      </c>
      <c r="CH25" s="14">
        <v>0</v>
      </c>
      <c r="CI25" s="14">
        <v>0</v>
      </c>
      <c r="CJ25" s="14">
        <v>0</v>
      </c>
      <c r="CK25" s="57">
        <v>9</v>
      </c>
      <c r="CL25" s="12" t="s">
        <v>66</v>
      </c>
      <c r="CM25" s="24">
        <f t="shared" si="55"/>
        <v>0</v>
      </c>
      <c r="CN25" s="14">
        <v>0</v>
      </c>
      <c r="CO25" s="14">
        <v>0</v>
      </c>
      <c r="CP25" s="14">
        <v>0</v>
      </c>
      <c r="CQ25" s="14">
        <v>0</v>
      </c>
      <c r="CR25" s="14">
        <v>0</v>
      </c>
      <c r="CS25" s="14">
        <v>0</v>
      </c>
      <c r="CT25" s="14">
        <v>0</v>
      </c>
      <c r="CU25" s="14">
        <v>0</v>
      </c>
      <c r="CV25" s="14">
        <v>0</v>
      </c>
      <c r="CW25" s="14">
        <v>0</v>
      </c>
      <c r="CX25" s="14">
        <v>0</v>
      </c>
      <c r="CY25" s="57">
        <v>9</v>
      </c>
      <c r="CZ25" s="12" t="s">
        <v>66</v>
      </c>
      <c r="DA25" s="24">
        <f t="shared" si="56"/>
        <v>0</v>
      </c>
      <c r="DB25" s="14">
        <v>0</v>
      </c>
      <c r="DC25" s="14">
        <v>0</v>
      </c>
      <c r="DD25" s="14">
        <v>0</v>
      </c>
      <c r="DE25" s="14">
        <v>0</v>
      </c>
      <c r="DF25" s="14">
        <v>0</v>
      </c>
      <c r="DG25" s="14">
        <v>0</v>
      </c>
      <c r="DH25" s="14">
        <v>0</v>
      </c>
      <c r="DI25" s="14">
        <v>0</v>
      </c>
      <c r="DJ25" s="14">
        <v>0</v>
      </c>
      <c r="DK25" s="14">
        <v>0</v>
      </c>
      <c r="DL25" s="14">
        <v>0</v>
      </c>
      <c r="DM25" s="57">
        <v>9</v>
      </c>
      <c r="DN25" s="12" t="s">
        <v>66</v>
      </c>
      <c r="DO25" s="24">
        <f t="shared" si="57"/>
        <v>0</v>
      </c>
      <c r="DP25" s="14">
        <v>0</v>
      </c>
      <c r="DQ25" s="14">
        <v>0</v>
      </c>
      <c r="DR25" s="14">
        <v>0</v>
      </c>
      <c r="DS25" s="14">
        <v>0</v>
      </c>
      <c r="DT25" s="14">
        <v>0</v>
      </c>
      <c r="DU25" s="14">
        <v>0</v>
      </c>
      <c r="DV25" s="14">
        <v>0</v>
      </c>
      <c r="DW25" s="14">
        <v>0</v>
      </c>
      <c r="DX25" s="14">
        <v>0</v>
      </c>
      <c r="DY25" s="14">
        <v>0</v>
      </c>
      <c r="DZ25" s="14">
        <v>0</v>
      </c>
      <c r="EA25" s="57">
        <v>9</v>
      </c>
      <c r="EB25" s="12" t="s">
        <v>66</v>
      </c>
      <c r="EC25" s="24">
        <f t="shared" si="58"/>
        <v>0</v>
      </c>
      <c r="ED25" s="14">
        <v>0</v>
      </c>
      <c r="EE25" s="14">
        <v>0</v>
      </c>
      <c r="EF25" s="14">
        <v>0</v>
      </c>
      <c r="EG25" s="14">
        <v>0</v>
      </c>
      <c r="EH25" s="14">
        <v>0</v>
      </c>
      <c r="EI25" s="14">
        <v>0</v>
      </c>
      <c r="EJ25" s="14">
        <v>0</v>
      </c>
      <c r="EK25" s="14">
        <v>0</v>
      </c>
      <c r="EL25" s="14">
        <v>0</v>
      </c>
      <c r="EM25" s="14">
        <v>0</v>
      </c>
      <c r="EN25" s="14">
        <v>0</v>
      </c>
      <c r="EO25" s="57">
        <v>9</v>
      </c>
      <c r="EP25" s="12" t="s">
        <v>66</v>
      </c>
      <c r="EQ25" s="24">
        <f t="shared" si="59"/>
        <v>0</v>
      </c>
      <c r="ER25" s="14">
        <v>0</v>
      </c>
      <c r="ES25" s="14">
        <v>0</v>
      </c>
      <c r="ET25" s="14">
        <v>0</v>
      </c>
      <c r="EU25" s="14">
        <v>0</v>
      </c>
      <c r="EV25" s="14">
        <v>0</v>
      </c>
      <c r="EW25" s="14">
        <v>0</v>
      </c>
      <c r="EX25" s="14">
        <v>0</v>
      </c>
      <c r="EY25" s="14">
        <v>0</v>
      </c>
      <c r="EZ25" s="14">
        <v>0</v>
      </c>
      <c r="FA25" s="14">
        <v>0</v>
      </c>
      <c r="FB25" s="14">
        <v>0</v>
      </c>
    </row>
    <row r="26" spans="1:158" s="4" customFormat="1" ht="12" customHeight="1" x14ac:dyDescent="0.2">
      <c r="A26" s="57">
        <v>10</v>
      </c>
      <c r="B26" s="12" t="s">
        <v>67</v>
      </c>
      <c r="C26" s="24">
        <f t="shared" si="22"/>
        <v>5440.0999999999995</v>
      </c>
      <c r="D26" s="23"/>
      <c r="E26" s="14">
        <f t="shared" si="23"/>
        <v>316.39999999999998</v>
      </c>
      <c r="F26" s="14">
        <f t="shared" si="24"/>
        <v>2785.6</v>
      </c>
      <c r="G26" s="14">
        <f t="shared" si="25"/>
        <v>403.48</v>
      </c>
      <c r="H26" s="14">
        <f t="shared" si="16"/>
        <v>269.64</v>
      </c>
      <c r="I26" s="14">
        <f t="shared" si="16"/>
        <v>437.36</v>
      </c>
      <c r="J26" s="14">
        <f t="shared" si="16"/>
        <v>328.44</v>
      </c>
      <c r="K26" s="14">
        <f t="shared" si="16"/>
        <v>119</v>
      </c>
      <c r="L26" s="14">
        <f t="shared" si="16"/>
        <v>245.84</v>
      </c>
      <c r="M26" s="14">
        <f t="shared" si="16"/>
        <v>345.34</v>
      </c>
      <c r="N26" s="14">
        <f t="shared" si="16"/>
        <v>189</v>
      </c>
      <c r="O26" s="57">
        <v>10</v>
      </c>
      <c r="P26" s="12" t="s">
        <v>67</v>
      </c>
      <c r="Q26" s="24">
        <f t="shared" si="52"/>
        <v>0</v>
      </c>
      <c r="R26" s="14"/>
      <c r="S26" s="14">
        <v>0</v>
      </c>
      <c r="T26" s="14">
        <v>0</v>
      </c>
      <c r="U26" s="57">
        <v>10</v>
      </c>
      <c r="V26" s="12" t="s">
        <v>67</v>
      </c>
      <c r="W26" s="24">
        <f t="shared" si="53"/>
        <v>0</v>
      </c>
      <c r="X26" s="14"/>
      <c r="Y26" s="14">
        <v>0</v>
      </c>
      <c r="Z26" s="14">
        <v>0</v>
      </c>
      <c r="AA26" s="57">
        <v>10</v>
      </c>
      <c r="AB26" s="12" t="s">
        <v>67</v>
      </c>
      <c r="AC26" s="24">
        <f t="shared" si="54"/>
        <v>0</v>
      </c>
      <c r="AD26" s="14"/>
      <c r="AE26" s="14">
        <v>0</v>
      </c>
      <c r="AF26" s="14">
        <v>0</v>
      </c>
      <c r="AG26" s="57">
        <v>10</v>
      </c>
      <c r="AH26" s="12" t="s">
        <v>67</v>
      </c>
      <c r="AI26" s="24">
        <f t="shared" si="38"/>
        <v>2640</v>
      </c>
      <c r="AJ26" s="14">
        <v>0</v>
      </c>
      <c r="AK26" s="14">
        <v>0</v>
      </c>
      <c r="AL26" s="14">
        <v>2640</v>
      </c>
      <c r="AM26" s="14">
        <v>0</v>
      </c>
      <c r="AN26" s="14">
        <v>0</v>
      </c>
      <c r="AO26" s="14">
        <v>0</v>
      </c>
      <c r="AP26" s="14">
        <v>0</v>
      </c>
      <c r="AQ26" s="14">
        <v>0</v>
      </c>
      <c r="AR26" s="14">
        <v>0</v>
      </c>
      <c r="AS26" s="14">
        <v>0</v>
      </c>
      <c r="AT26" s="14">
        <v>0</v>
      </c>
      <c r="AU26" s="57">
        <v>10</v>
      </c>
      <c r="AV26" s="12" t="s">
        <v>67</v>
      </c>
      <c r="AW26" s="24">
        <f t="shared" si="41"/>
        <v>0</v>
      </c>
      <c r="AX26" s="14">
        <v>0</v>
      </c>
      <c r="AY26" s="14">
        <v>0</v>
      </c>
      <c r="AZ26" s="14">
        <v>0</v>
      </c>
      <c r="BA26" s="14">
        <v>0</v>
      </c>
      <c r="BB26" s="14">
        <v>0</v>
      </c>
      <c r="BC26" s="14">
        <v>0</v>
      </c>
      <c r="BD26" s="14">
        <v>0</v>
      </c>
      <c r="BE26" s="14">
        <v>0</v>
      </c>
      <c r="BF26" s="14">
        <v>0</v>
      </c>
      <c r="BG26" s="14">
        <v>0</v>
      </c>
      <c r="BH26" s="14">
        <v>0</v>
      </c>
      <c r="BI26" s="57">
        <v>10</v>
      </c>
      <c r="BJ26" s="12" t="s">
        <v>67</v>
      </c>
      <c r="BK26" s="24">
        <f t="shared" si="43"/>
        <v>0</v>
      </c>
      <c r="BL26" s="14">
        <v>0</v>
      </c>
      <c r="BM26" s="14">
        <v>0</v>
      </c>
      <c r="BN26" s="14">
        <v>0</v>
      </c>
      <c r="BO26" s="14">
        <v>0</v>
      </c>
      <c r="BP26" s="14">
        <v>0</v>
      </c>
      <c r="BQ26" s="14">
        <v>0</v>
      </c>
      <c r="BR26" s="14">
        <v>0</v>
      </c>
      <c r="BS26" s="14">
        <v>0</v>
      </c>
      <c r="BT26" s="14">
        <v>0</v>
      </c>
      <c r="BU26" s="14">
        <v>0</v>
      </c>
      <c r="BV26" s="14">
        <v>0</v>
      </c>
      <c r="BW26" s="57">
        <v>10</v>
      </c>
      <c r="BX26" s="12" t="s">
        <v>67</v>
      </c>
      <c r="BY26" s="24">
        <f t="shared" si="45"/>
        <v>2800.1000000000004</v>
      </c>
      <c r="BZ26" s="14">
        <v>0</v>
      </c>
      <c r="CA26" s="14">
        <v>316.39999999999998</v>
      </c>
      <c r="CB26" s="14">
        <v>145.6</v>
      </c>
      <c r="CC26" s="14">
        <v>403.48</v>
      </c>
      <c r="CD26" s="14">
        <v>269.64</v>
      </c>
      <c r="CE26" s="14">
        <v>437.36</v>
      </c>
      <c r="CF26" s="14">
        <v>328.44</v>
      </c>
      <c r="CG26" s="14">
        <v>119</v>
      </c>
      <c r="CH26" s="14">
        <v>245.84</v>
      </c>
      <c r="CI26" s="14">
        <v>345.34</v>
      </c>
      <c r="CJ26" s="14">
        <v>189</v>
      </c>
      <c r="CK26" s="57">
        <v>10</v>
      </c>
      <c r="CL26" s="12" t="s">
        <v>67</v>
      </c>
      <c r="CM26" s="24">
        <f>SUM(CO26:CX26)</f>
        <v>0</v>
      </c>
      <c r="CN26" s="14">
        <v>0</v>
      </c>
      <c r="CO26" s="14">
        <v>0</v>
      </c>
      <c r="CP26" s="14">
        <v>0</v>
      </c>
      <c r="CQ26" s="14">
        <v>0</v>
      </c>
      <c r="CR26" s="14">
        <v>0</v>
      </c>
      <c r="CS26" s="14">
        <v>0</v>
      </c>
      <c r="CT26" s="14">
        <v>0</v>
      </c>
      <c r="CU26" s="14">
        <v>0</v>
      </c>
      <c r="CV26" s="14">
        <v>0</v>
      </c>
      <c r="CW26" s="14">
        <v>0</v>
      </c>
      <c r="CX26" s="14">
        <v>0</v>
      </c>
      <c r="CY26" s="57">
        <v>10</v>
      </c>
      <c r="CZ26" s="12" t="s">
        <v>67</v>
      </c>
      <c r="DA26" s="24">
        <f>SUM(DC26:DL26)</f>
        <v>0</v>
      </c>
      <c r="DB26" s="14">
        <v>0</v>
      </c>
      <c r="DC26" s="14">
        <v>0</v>
      </c>
      <c r="DD26" s="14">
        <v>0</v>
      </c>
      <c r="DE26" s="14">
        <v>0</v>
      </c>
      <c r="DF26" s="14">
        <v>0</v>
      </c>
      <c r="DG26" s="14">
        <v>0</v>
      </c>
      <c r="DH26" s="14">
        <v>0</v>
      </c>
      <c r="DI26" s="14">
        <v>0</v>
      </c>
      <c r="DJ26" s="14">
        <v>0</v>
      </c>
      <c r="DK26" s="14">
        <v>0</v>
      </c>
      <c r="DL26" s="14">
        <v>0</v>
      </c>
      <c r="DM26" s="57">
        <v>10</v>
      </c>
      <c r="DN26" s="12" t="s">
        <v>67</v>
      </c>
      <c r="DO26" s="24">
        <f>SUM(DQ26:DZ26)</f>
        <v>0</v>
      </c>
      <c r="DP26" s="14">
        <v>0</v>
      </c>
      <c r="DQ26" s="14">
        <v>0</v>
      </c>
      <c r="DR26" s="14">
        <v>0</v>
      </c>
      <c r="DS26" s="14">
        <v>0</v>
      </c>
      <c r="DT26" s="14">
        <v>0</v>
      </c>
      <c r="DU26" s="14">
        <v>0</v>
      </c>
      <c r="DV26" s="14">
        <v>0</v>
      </c>
      <c r="DW26" s="14">
        <v>0</v>
      </c>
      <c r="DX26" s="14">
        <v>0</v>
      </c>
      <c r="DY26" s="14">
        <v>0</v>
      </c>
      <c r="DZ26" s="14">
        <v>0</v>
      </c>
      <c r="EA26" s="57">
        <v>10</v>
      </c>
      <c r="EB26" s="12" t="s">
        <v>67</v>
      </c>
      <c r="EC26" s="24">
        <f>SUM(EE26:EN26)</f>
        <v>0</v>
      </c>
      <c r="ED26" s="14">
        <v>0</v>
      </c>
      <c r="EE26" s="14">
        <v>0</v>
      </c>
      <c r="EF26" s="14">
        <v>0</v>
      </c>
      <c r="EG26" s="14">
        <v>0</v>
      </c>
      <c r="EH26" s="14">
        <v>0</v>
      </c>
      <c r="EI26" s="14">
        <v>0</v>
      </c>
      <c r="EJ26" s="14">
        <v>0</v>
      </c>
      <c r="EK26" s="14">
        <v>0</v>
      </c>
      <c r="EL26" s="14">
        <v>0</v>
      </c>
      <c r="EM26" s="14">
        <v>0</v>
      </c>
      <c r="EN26" s="14">
        <v>0</v>
      </c>
      <c r="EO26" s="57">
        <v>10</v>
      </c>
      <c r="EP26" s="12" t="s">
        <v>67</v>
      </c>
      <c r="EQ26" s="24">
        <f>SUM(ES26:FB26)</f>
        <v>0</v>
      </c>
      <c r="ER26" s="14">
        <v>0</v>
      </c>
      <c r="ES26" s="14">
        <v>0</v>
      </c>
      <c r="ET26" s="14">
        <v>0</v>
      </c>
      <c r="EU26" s="14">
        <v>0</v>
      </c>
      <c r="EV26" s="14">
        <v>0</v>
      </c>
      <c r="EW26" s="14">
        <v>0</v>
      </c>
      <c r="EX26" s="14">
        <v>0</v>
      </c>
      <c r="EY26" s="14">
        <v>0</v>
      </c>
      <c r="EZ26" s="14">
        <v>0</v>
      </c>
      <c r="FA26" s="14">
        <v>0</v>
      </c>
      <c r="FB26" s="14">
        <v>0</v>
      </c>
    </row>
    <row r="27" spans="1:158" s="4" customFormat="1" ht="12" customHeight="1" x14ac:dyDescent="0.2">
      <c r="A27" s="57">
        <v>11</v>
      </c>
      <c r="B27" s="12" t="s">
        <v>70</v>
      </c>
      <c r="C27" s="24">
        <f t="shared" si="22"/>
        <v>388956.74999999994</v>
      </c>
      <c r="D27" s="23"/>
      <c r="E27" s="14">
        <f t="shared" si="23"/>
        <v>70498.959999999992</v>
      </c>
      <c r="F27" s="14">
        <f t="shared" si="24"/>
        <v>234829.46</v>
      </c>
      <c r="G27" s="14">
        <f t="shared" si="25"/>
        <v>4875.17</v>
      </c>
      <c r="H27" s="14">
        <f t="shared" si="16"/>
        <v>28367.73</v>
      </c>
      <c r="I27" s="14">
        <f t="shared" si="16"/>
        <v>47601.520000000004</v>
      </c>
      <c r="J27" s="14">
        <f t="shared" si="16"/>
        <v>0</v>
      </c>
      <c r="K27" s="14">
        <f t="shared" si="16"/>
        <v>0</v>
      </c>
      <c r="L27" s="14">
        <f t="shared" si="16"/>
        <v>0</v>
      </c>
      <c r="M27" s="14">
        <f t="shared" si="16"/>
        <v>0</v>
      </c>
      <c r="N27" s="14">
        <f t="shared" si="16"/>
        <v>2783.91</v>
      </c>
      <c r="O27" s="57">
        <v>11</v>
      </c>
      <c r="P27" s="12" t="s">
        <v>70</v>
      </c>
      <c r="Q27" s="24">
        <f t="shared" si="52"/>
        <v>65486</v>
      </c>
      <c r="R27" s="14"/>
      <c r="S27" s="14"/>
      <c r="T27" s="14">
        <v>65486</v>
      </c>
      <c r="U27" s="57">
        <v>11</v>
      </c>
      <c r="V27" s="12" t="s">
        <v>70</v>
      </c>
      <c r="W27" s="24">
        <f t="shared" si="53"/>
        <v>57992.22</v>
      </c>
      <c r="X27" s="14"/>
      <c r="Y27" s="14"/>
      <c r="Z27" s="14">
        <v>57992.22</v>
      </c>
      <c r="AA27" s="57">
        <v>11</v>
      </c>
      <c r="AB27" s="12" t="s">
        <v>70</v>
      </c>
      <c r="AC27" s="24">
        <f t="shared" si="54"/>
        <v>60893.62</v>
      </c>
      <c r="AD27" s="14"/>
      <c r="AE27" s="14">
        <v>0</v>
      </c>
      <c r="AF27" s="14">
        <v>60893.62</v>
      </c>
      <c r="AG27" s="57">
        <v>11</v>
      </c>
      <c r="AH27" s="12" t="s">
        <v>70</v>
      </c>
      <c r="AI27" s="24">
        <f t="shared" si="38"/>
        <v>50457.62</v>
      </c>
      <c r="AJ27" s="14">
        <v>0</v>
      </c>
      <c r="AK27" s="14">
        <v>0</v>
      </c>
      <c r="AL27" s="14">
        <v>50457.62</v>
      </c>
      <c r="AM27" s="14">
        <v>0</v>
      </c>
      <c r="AN27" s="14">
        <v>0</v>
      </c>
      <c r="AO27" s="14">
        <v>0</v>
      </c>
      <c r="AP27" s="14">
        <v>0</v>
      </c>
      <c r="AQ27" s="14">
        <v>0</v>
      </c>
      <c r="AR27" s="14">
        <v>0</v>
      </c>
      <c r="AS27" s="14">
        <v>0</v>
      </c>
      <c r="AT27" s="14">
        <v>0</v>
      </c>
      <c r="AU27" s="57">
        <v>11</v>
      </c>
      <c r="AV27" s="12" t="s">
        <v>70</v>
      </c>
      <c r="AW27" s="24">
        <f t="shared" si="41"/>
        <v>0</v>
      </c>
      <c r="AX27" s="14">
        <v>0</v>
      </c>
      <c r="AY27" s="14">
        <v>0</v>
      </c>
      <c r="AZ27" s="14">
        <v>0</v>
      </c>
      <c r="BA27" s="14">
        <v>0</v>
      </c>
      <c r="BB27" s="14">
        <v>0</v>
      </c>
      <c r="BC27" s="14">
        <v>0</v>
      </c>
      <c r="BD27" s="14">
        <v>0</v>
      </c>
      <c r="BE27" s="14">
        <v>0</v>
      </c>
      <c r="BF27" s="14">
        <v>0</v>
      </c>
      <c r="BG27" s="14">
        <v>0</v>
      </c>
      <c r="BH27" s="14">
        <v>0</v>
      </c>
      <c r="BI27" s="57">
        <v>11</v>
      </c>
      <c r="BJ27" s="12" t="s">
        <v>70</v>
      </c>
      <c r="BK27" s="24">
        <f t="shared" si="43"/>
        <v>47306.14</v>
      </c>
      <c r="BL27" s="14">
        <v>0</v>
      </c>
      <c r="BM27" s="14">
        <v>47306.14</v>
      </c>
      <c r="BN27" s="14">
        <v>0</v>
      </c>
      <c r="BO27" s="14">
        <v>0</v>
      </c>
      <c r="BP27" s="14">
        <v>0</v>
      </c>
      <c r="BQ27" s="14">
        <v>0</v>
      </c>
      <c r="BR27" s="14">
        <v>0</v>
      </c>
      <c r="BS27" s="14">
        <v>0</v>
      </c>
      <c r="BT27" s="14">
        <v>0</v>
      </c>
      <c r="BU27" s="14">
        <v>0</v>
      </c>
      <c r="BV27" s="14">
        <v>0</v>
      </c>
      <c r="BW27" s="57">
        <v>11</v>
      </c>
      <c r="BX27" s="12" t="s">
        <v>70</v>
      </c>
      <c r="BY27" s="24">
        <f t="shared" si="45"/>
        <v>23192.82</v>
      </c>
      <c r="BZ27" s="14">
        <v>0</v>
      </c>
      <c r="CA27" s="14">
        <v>23192.82</v>
      </c>
      <c r="CB27" s="14">
        <v>0</v>
      </c>
      <c r="CC27" s="14">
        <v>0</v>
      </c>
      <c r="CD27" s="14">
        <v>0</v>
      </c>
      <c r="CE27" s="14">
        <v>0</v>
      </c>
      <c r="CF27" s="14">
        <v>0</v>
      </c>
      <c r="CG27" s="14">
        <v>0</v>
      </c>
      <c r="CH27" s="14">
        <v>0</v>
      </c>
      <c r="CI27" s="14">
        <v>0</v>
      </c>
      <c r="CJ27" s="14">
        <v>0</v>
      </c>
      <c r="CK27" s="57">
        <v>11</v>
      </c>
      <c r="CL27" s="12" t="s">
        <v>70</v>
      </c>
      <c r="CM27" s="24">
        <f>SUM(CO27:CX27)</f>
        <v>0</v>
      </c>
      <c r="CN27" s="14">
        <v>0</v>
      </c>
      <c r="CO27" s="14">
        <v>0</v>
      </c>
      <c r="CP27" s="14">
        <v>0</v>
      </c>
      <c r="CQ27" s="14">
        <v>0</v>
      </c>
      <c r="CR27" s="14">
        <v>0</v>
      </c>
      <c r="CS27" s="14">
        <v>0</v>
      </c>
      <c r="CT27" s="14">
        <v>0</v>
      </c>
      <c r="CU27" s="14">
        <v>0</v>
      </c>
      <c r="CV27" s="14">
        <v>0</v>
      </c>
      <c r="CW27" s="14">
        <v>0</v>
      </c>
      <c r="CX27" s="14">
        <v>0</v>
      </c>
      <c r="CY27" s="57">
        <v>11</v>
      </c>
      <c r="CZ27" s="12" t="s">
        <v>70</v>
      </c>
      <c r="DA27" s="24">
        <f>SUM(DC27:DL27)</f>
        <v>0</v>
      </c>
      <c r="DB27" s="14">
        <v>0</v>
      </c>
      <c r="DC27" s="14">
        <v>0</v>
      </c>
      <c r="DD27" s="14">
        <v>0</v>
      </c>
      <c r="DE27" s="14">
        <v>0</v>
      </c>
      <c r="DF27" s="14">
        <v>0</v>
      </c>
      <c r="DG27" s="14">
        <v>0</v>
      </c>
      <c r="DH27" s="14">
        <v>0</v>
      </c>
      <c r="DI27" s="14">
        <v>0</v>
      </c>
      <c r="DJ27" s="14">
        <v>0</v>
      </c>
      <c r="DK27" s="14">
        <v>0</v>
      </c>
      <c r="DL27" s="14">
        <v>0</v>
      </c>
      <c r="DM27" s="57">
        <v>11</v>
      </c>
      <c r="DN27" s="12" t="s">
        <v>70</v>
      </c>
      <c r="DO27" s="24">
        <f>SUM(DQ27:DZ27)</f>
        <v>0</v>
      </c>
      <c r="DP27" s="14">
        <v>0</v>
      </c>
      <c r="DQ27" s="14">
        <v>0</v>
      </c>
      <c r="DR27" s="14">
        <v>0</v>
      </c>
      <c r="DS27" s="14">
        <v>0</v>
      </c>
      <c r="DT27" s="14">
        <v>0</v>
      </c>
      <c r="DU27" s="14">
        <v>0</v>
      </c>
      <c r="DV27" s="14">
        <v>0</v>
      </c>
      <c r="DW27" s="14">
        <v>0</v>
      </c>
      <c r="DX27" s="14">
        <v>0</v>
      </c>
      <c r="DY27" s="14">
        <v>0</v>
      </c>
      <c r="DZ27" s="14">
        <v>0</v>
      </c>
      <c r="EA27" s="57">
        <v>11</v>
      </c>
      <c r="EB27" s="12" t="s">
        <v>103</v>
      </c>
      <c r="EC27" s="24">
        <f>SUM(EE27:EN27)</f>
        <v>47000</v>
      </c>
      <c r="ED27" s="14">
        <v>0</v>
      </c>
      <c r="EE27" s="14">
        <v>0</v>
      </c>
      <c r="EF27" s="14">
        <v>0</v>
      </c>
      <c r="EG27" s="14">
        <f>3329.78</f>
        <v>3329.78</v>
      </c>
      <c r="EH27" s="14">
        <f>15445.74</f>
        <v>15445.74</v>
      </c>
      <c r="EI27" s="14">
        <f>26164.54</f>
        <v>26164.54</v>
      </c>
      <c r="EJ27" s="14">
        <v>0</v>
      </c>
      <c r="EK27" s="14">
        <v>0</v>
      </c>
      <c r="EL27" s="14">
        <v>0</v>
      </c>
      <c r="EM27" s="14">
        <v>0</v>
      </c>
      <c r="EN27" s="14">
        <f>2059.94</f>
        <v>2059.94</v>
      </c>
      <c r="EO27" s="57">
        <v>11</v>
      </c>
      <c r="EP27" s="12" t="s">
        <v>103</v>
      </c>
      <c r="EQ27" s="24">
        <f>SUM(ES27:FB27)</f>
        <v>36628.33</v>
      </c>
      <c r="ER27" s="14">
        <v>0</v>
      </c>
      <c r="ES27" s="14">
        <v>0</v>
      </c>
      <c r="ET27" s="14">
        <v>0</v>
      </c>
      <c r="EU27" s="14">
        <f>1545.39</f>
        <v>1545.39</v>
      </c>
      <c r="EV27" s="14">
        <f>11889.74+1032.25</f>
        <v>12921.99</v>
      </c>
      <c r="EW27" s="14">
        <f>19766.28+1670.7</f>
        <v>21436.98</v>
      </c>
      <c r="EX27" s="14">
        <v>0</v>
      </c>
      <c r="EY27" s="14">
        <v>0</v>
      </c>
      <c r="EZ27" s="14">
        <v>0</v>
      </c>
      <c r="FA27" s="14">
        <v>0</v>
      </c>
      <c r="FB27" s="14">
        <f>723.97</f>
        <v>723.97</v>
      </c>
    </row>
    <row r="28" spans="1:158" s="19" customFormat="1" ht="12" customHeight="1" x14ac:dyDescent="0.2">
      <c r="A28" s="57">
        <v>6</v>
      </c>
      <c r="B28" s="12" t="s">
        <v>25</v>
      </c>
      <c r="C28" s="24">
        <f t="shared" si="22"/>
        <v>36890.36</v>
      </c>
      <c r="D28" s="14"/>
      <c r="E28" s="14">
        <f t="shared" si="23"/>
        <v>4568.71</v>
      </c>
      <c r="F28" s="14">
        <f t="shared" si="24"/>
        <v>2102.7599999999998</v>
      </c>
      <c r="G28" s="14">
        <f t="shared" si="25"/>
        <v>5215.0700000000006</v>
      </c>
      <c r="H28" s="14">
        <f t="shared" si="16"/>
        <v>3485.16</v>
      </c>
      <c r="I28" s="14">
        <f t="shared" si="16"/>
        <v>5652.98</v>
      </c>
      <c r="J28" s="14">
        <f t="shared" si="16"/>
        <v>4245.16</v>
      </c>
      <c r="K28" s="14">
        <f t="shared" si="16"/>
        <v>1538.1000000000001</v>
      </c>
      <c r="L28" s="14">
        <f t="shared" si="16"/>
        <v>3177.5400000000004</v>
      </c>
      <c r="M28" s="14">
        <f t="shared" si="16"/>
        <v>4462.3100000000004</v>
      </c>
      <c r="N28" s="14">
        <f t="shared" si="16"/>
        <v>2442.5700000000002</v>
      </c>
      <c r="O28" s="57">
        <v>12</v>
      </c>
      <c r="P28" s="12" t="s">
        <v>25</v>
      </c>
      <c r="Q28" s="24">
        <f>SUM(S28:T28)</f>
        <v>200</v>
      </c>
      <c r="R28" s="14">
        <v>0</v>
      </c>
      <c r="S28" s="14">
        <v>136.9</v>
      </c>
      <c r="T28" s="14">
        <v>63.1</v>
      </c>
      <c r="U28" s="57">
        <v>12</v>
      </c>
      <c r="V28" s="12" t="s">
        <v>25</v>
      </c>
      <c r="W28" s="24">
        <f>SUM(Y28:Z28)</f>
        <v>0</v>
      </c>
      <c r="X28" s="14">
        <v>0</v>
      </c>
      <c r="Y28" s="14">
        <v>0</v>
      </c>
      <c r="Z28" s="14">
        <v>0</v>
      </c>
      <c r="AA28" s="57">
        <v>12</v>
      </c>
      <c r="AB28" s="12" t="s">
        <v>25</v>
      </c>
      <c r="AC28" s="24">
        <f>SUM(AE28:AF28)</f>
        <v>0</v>
      </c>
      <c r="AD28" s="14">
        <v>0</v>
      </c>
      <c r="AE28" s="14">
        <v>0</v>
      </c>
      <c r="AF28" s="14">
        <v>0</v>
      </c>
      <c r="AG28" s="57">
        <v>12</v>
      </c>
      <c r="AH28" s="12" t="s">
        <v>25</v>
      </c>
      <c r="AI28" s="24">
        <f t="shared" si="38"/>
        <v>500</v>
      </c>
      <c r="AJ28" s="14">
        <v>0</v>
      </c>
      <c r="AK28" s="14">
        <v>342.25</v>
      </c>
      <c r="AL28" s="14">
        <v>157.75</v>
      </c>
      <c r="AM28" s="14">
        <v>0</v>
      </c>
      <c r="AN28" s="14">
        <v>0</v>
      </c>
      <c r="AO28" s="14">
        <v>0</v>
      </c>
      <c r="AP28" s="14">
        <v>0</v>
      </c>
      <c r="AQ28" s="14">
        <v>0</v>
      </c>
      <c r="AR28" s="14">
        <v>0</v>
      </c>
      <c r="AS28" s="14">
        <v>0</v>
      </c>
      <c r="AT28" s="14">
        <v>0</v>
      </c>
      <c r="AU28" s="57">
        <v>12</v>
      </c>
      <c r="AV28" s="12" t="s">
        <v>25</v>
      </c>
      <c r="AW28" s="24">
        <f t="shared" si="41"/>
        <v>8763.85</v>
      </c>
      <c r="AX28" s="14">
        <v>0</v>
      </c>
      <c r="AY28" s="14">
        <v>990.32</v>
      </c>
      <c r="AZ28" s="14">
        <v>455.72</v>
      </c>
      <c r="BA28" s="14">
        <v>1262.8699999999999</v>
      </c>
      <c r="BB28" s="14">
        <v>843.96</v>
      </c>
      <c r="BC28" s="14">
        <v>1368.91</v>
      </c>
      <c r="BD28" s="14">
        <v>1028</v>
      </c>
      <c r="BE28" s="14">
        <v>372.46</v>
      </c>
      <c r="BF28" s="14">
        <v>769.47</v>
      </c>
      <c r="BG28" s="14">
        <v>1080.58</v>
      </c>
      <c r="BH28" s="14">
        <v>591.55999999999995</v>
      </c>
      <c r="BI28" s="57">
        <v>12</v>
      </c>
      <c r="BJ28" s="12" t="s">
        <v>25</v>
      </c>
      <c r="BK28" s="24">
        <f t="shared" si="43"/>
        <v>2933.16</v>
      </c>
      <c r="BL28" s="14">
        <v>0</v>
      </c>
      <c r="BM28" s="14">
        <v>331.45</v>
      </c>
      <c r="BN28" s="14">
        <v>152.52000000000001</v>
      </c>
      <c r="BO28" s="14">
        <v>422.67</v>
      </c>
      <c r="BP28" s="14">
        <v>282.45999999999998</v>
      </c>
      <c r="BQ28" s="14">
        <v>458.16</v>
      </c>
      <c r="BR28" s="14">
        <v>344.06</v>
      </c>
      <c r="BS28" s="14">
        <v>124.66</v>
      </c>
      <c r="BT28" s="14">
        <v>257.52999999999997</v>
      </c>
      <c r="BU28" s="14">
        <v>361.66</v>
      </c>
      <c r="BV28" s="14">
        <v>197.99</v>
      </c>
      <c r="BW28" s="57">
        <v>12</v>
      </c>
      <c r="BX28" s="12" t="s">
        <v>25</v>
      </c>
      <c r="BY28" s="24">
        <f t="shared" si="45"/>
        <v>4797.3799999999992</v>
      </c>
      <c r="BZ28" s="14">
        <v>0</v>
      </c>
      <c r="CA28" s="14">
        <v>542.11</v>
      </c>
      <c r="CB28" s="14">
        <v>249.46</v>
      </c>
      <c r="CC28" s="14">
        <v>691.3</v>
      </c>
      <c r="CD28" s="14">
        <v>461.99</v>
      </c>
      <c r="CE28" s="14">
        <v>749.35</v>
      </c>
      <c r="CF28" s="14">
        <v>562.73</v>
      </c>
      <c r="CG28" s="14">
        <v>203.89</v>
      </c>
      <c r="CH28" s="14">
        <v>421.21</v>
      </c>
      <c r="CI28" s="14">
        <v>591.52</v>
      </c>
      <c r="CJ28" s="14">
        <v>323.82</v>
      </c>
      <c r="CK28" s="57">
        <v>12</v>
      </c>
      <c r="CL28" s="12" t="s">
        <v>25</v>
      </c>
      <c r="CM28" s="24">
        <f>SUM(CO28:CX28)</f>
        <v>3249.6099999999997</v>
      </c>
      <c r="CN28" s="14">
        <v>0</v>
      </c>
      <c r="CO28" s="14">
        <v>367.2</v>
      </c>
      <c r="CP28" s="14">
        <v>168.98</v>
      </c>
      <c r="CQ28" s="14">
        <v>468.27</v>
      </c>
      <c r="CR28" s="14">
        <v>312.94</v>
      </c>
      <c r="CS28" s="14">
        <v>507.59</v>
      </c>
      <c r="CT28" s="14">
        <v>381.18</v>
      </c>
      <c r="CU28" s="14">
        <v>138.11000000000001</v>
      </c>
      <c r="CV28" s="14">
        <v>285.31</v>
      </c>
      <c r="CW28" s="14">
        <v>400.68</v>
      </c>
      <c r="CX28" s="14">
        <v>219.35</v>
      </c>
      <c r="CY28" s="57">
        <v>12</v>
      </c>
      <c r="CZ28" s="12" t="s">
        <v>25</v>
      </c>
      <c r="DA28" s="24">
        <f>SUM(DC28:DL28)</f>
        <v>4124.97</v>
      </c>
      <c r="DB28" s="14">
        <v>0</v>
      </c>
      <c r="DC28" s="14">
        <v>466.16</v>
      </c>
      <c r="DD28" s="14">
        <v>214.51</v>
      </c>
      <c r="DE28" s="14">
        <v>594.45000000000005</v>
      </c>
      <c r="DF28" s="14">
        <v>397.26</v>
      </c>
      <c r="DG28" s="14">
        <v>644.37</v>
      </c>
      <c r="DH28" s="14">
        <v>483.89</v>
      </c>
      <c r="DI28" s="14">
        <v>175.32</v>
      </c>
      <c r="DJ28" s="14">
        <v>362.2</v>
      </c>
      <c r="DK28" s="14">
        <v>508.65</v>
      </c>
      <c r="DL28" s="14">
        <v>278.16000000000003</v>
      </c>
      <c r="DM28" s="57">
        <v>12</v>
      </c>
      <c r="DN28" s="12" t="s">
        <v>25</v>
      </c>
      <c r="DO28" s="24">
        <f>SUM(DQ28:DZ28)</f>
        <v>4897.84</v>
      </c>
      <c r="DP28" s="14">
        <v>0</v>
      </c>
      <c r="DQ28" s="14">
        <v>553.46</v>
      </c>
      <c r="DR28" s="14">
        <v>254.69</v>
      </c>
      <c r="DS28" s="14">
        <v>705.78</v>
      </c>
      <c r="DT28" s="14">
        <v>471.66</v>
      </c>
      <c r="DU28" s="14">
        <v>765.04</v>
      </c>
      <c r="DV28" s="14">
        <v>574.52</v>
      </c>
      <c r="DW28" s="14">
        <v>208.16</v>
      </c>
      <c r="DX28" s="14">
        <v>430.03</v>
      </c>
      <c r="DY28" s="14">
        <v>603.9</v>
      </c>
      <c r="DZ28" s="14">
        <v>330.6</v>
      </c>
      <c r="EA28" s="57">
        <v>12</v>
      </c>
      <c r="EB28" s="12" t="s">
        <v>25</v>
      </c>
      <c r="EC28" s="24">
        <f>SUM(EE28:EN28)</f>
        <v>5319.0099999999993</v>
      </c>
      <c r="ED28" s="14">
        <v>0</v>
      </c>
      <c r="EE28" s="14">
        <v>601.04999999999995</v>
      </c>
      <c r="EF28" s="14">
        <v>276.58999999999997</v>
      </c>
      <c r="EG28" s="14">
        <v>766.47</v>
      </c>
      <c r="EH28" s="14">
        <v>512.22</v>
      </c>
      <c r="EI28" s="14">
        <v>830.83</v>
      </c>
      <c r="EJ28" s="14">
        <v>623.91999999999996</v>
      </c>
      <c r="EK28" s="14">
        <v>226.06</v>
      </c>
      <c r="EL28" s="14">
        <v>467.01</v>
      </c>
      <c r="EM28" s="14">
        <v>655.83</v>
      </c>
      <c r="EN28" s="14">
        <v>359.03</v>
      </c>
      <c r="EO28" s="57">
        <v>12</v>
      </c>
      <c r="EP28" s="12" t="s">
        <v>25</v>
      </c>
      <c r="EQ28" s="24">
        <f>SUM(ES28:FB28)</f>
        <v>2104.54</v>
      </c>
      <c r="ER28" s="14">
        <v>0</v>
      </c>
      <c r="ES28" s="14">
        <v>237.81</v>
      </c>
      <c r="ET28" s="14">
        <v>109.44</v>
      </c>
      <c r="EU28" s="14">
        <v>303.26</v>
      </c>
      <c r="EV28" s="14">
        <v>202.67</v>
      </c>
      <c r="EW28" s="14">
        <v>328.73</v>
      </c>
      <c r="EX28" s="14">
        <v>246.86</v>
      </c>
      <c r="EY28" s="14">
        <v>89.44</v>
      </c>
      <c r="EZ28" s="14">
        <v>184.78</v>
      </c>
      <c r="FA28" s="14">
        <v>259.49</v>
      </c>
      <c r="FB28" s="14">
        <v>142.06</v>
      </c>
    </row>
    <row r="29" spans="1:158" s="19" customFormat="1" ht="12" customHeight="1" x14ac:dyDescent="0.2">
      <c r="A29" s="17">
        <v>7</v>
      </c>
      <c r="B29" s="12" t="s">
        <v>74</v>
      </c>
      <c r="C29" s="24">
        <f t="shared" si="22"/>
        <v>51319.509999999995</v>
      </c>
      <c r="D29" s="14"/>
      <c r="E29" s="14">
        <f t="shared" si="23"/>
        <v>6682.1299999999992</v>
      </c>
      <c r="F29" s="14">
        <f t="shared" si="24"/>
        <v>2616.84</v>
      </c>
      <c r="G29" s="14">
        <f t="shared" si="25"/>
        <v>7251.69</v>
      </c>
      <c r="H29" s="14">
        <f t="shared" si="16"/>
        <v>4846.2099999999991</v>
      </c>
      <c r="I29" s="14">
        <f t="shared" si="16"/>
        <v>7860.5999999999995</v>
      </c>
      <c r="J29" s="14">
        <f t="shared" si="16"/>
        <v>5903.01</v>
      </c>
      <c r="K29" s="14">
        <f t="shared" si="16"/>
        <v>2138.77</v>
      </c>
      <c r="L29" s="14">
        <f t="shared" si="16"/>
        <v>4418.4399999999996</v>
      </c>
      <c r="M29" s="14">
        <f t="shared" si="16"/>
        <v>6204.95</v>
      </c>
      <c r="N29" s="14">
        <f t="shared" si="16"/>
        <v>3396.87</v>
      </c>
      <c r="O29" s="17">
        <v>13</v>
      </c>
      <c r="P29" s="12" t="s">
        <v>74</v>
      </c>
      <c r="Q29" s="24">
        <f>S29+T29</f>
        <v>995.51</v>
      </c>
      <c r="R29" s="14">
        <v>0</v>
      </c>
      <c r="S29" s="14">
        <v>995.51</v>
      </c>
      <c r="T29" s="14">
        <v>0</v>
      </c>
      <c r="U29" s="17">
        <v>13</v>
      </c>
      <c r="V29" s="12" t="s">
        <v>74</v>
      </c>
      <c r="W29" s="24">
        <f>Y29+Z29</f>
        <v>0</v>
      </c>
      <c r="X29" s="14">
        <v>0</v>
      </c>
      <c r="Y29" s="14">
        <v>0</v>
      </c>
      <c r="Z29" s="14">
        <v>0</v>
      </c>
      <c r="AA29" s="17">
        <v>13</v>
      </c>
      <c r="AB29" s="12" t="s">
        <v>74</v>
      </c>
      <c r="AC29" s="24">
        <f>AE29+AF29</f>
        <v>0</v>
      </c>
      <c r="AD29" s="14">
        <v>0</v>
      </c>
      <c r="AE29" s="14">
        <v>0</v>
      </c>
      <c r="AF29" s="14">
        <v>0</v>
      </c>
      <c r="AG29" s="17">
        <v>13</v>
      </c>
      <c r="AH29" s="12" t="s">
        <v>74</v>
      </c>
      <c r="AI29" s="24">
        <f t="shared" si="38"/>
        <v>0</v>
      </c>
      <c r="AJ29" s="14">
        <v>0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0</v>
      </c>
      <c r="AQ29" s="14">
        <v>0</v>
      </c>
      <c r="AR29" s="14">
        <v>0</v>
      </c>
      <c r="AS29" s="14">
        <v>0</v>
      </c>
      <c r="AT29" s="14">
        <v>0</v>
      </c>
      <c r="AU29" s="17">
        <v>13</v>
      </c>
      <c r="AV29" s="12" t="s">
        <v>74</v>
      </c>
      <c r="AW29" s="24">
        <f t="shared" si="41"/>
        <v>6000</v>
      </c>
      <c r="AX29" s="14">
        <v>0</v>
      </c>
      <c r="AY29" s="14">
        <v>678</v>
      </c>
      <c r="AZ29" s="14">
        <v>312</v>
      </c>
      <c r="BA29" s="14">
        <v>864.6</v>
      </c>
      <c r="BB29" s="14">
        <v>577.79999999999995</v>
      </c>
      <c r="BC29" s="14">
        <v>937.2</v>
      </c>
      <c r="BD29" s="14">
        <v>703.8</v>
      </c>
      <c r="BE29" s="14">
        <v>255</v>
      </c>
      <c r="BF29" s="14">
        <v>526.79999999999995</v>
      </c>
      <c r="BG29" s="14">
        <v>739.8</v>
      </c>
      <c r="BH29" s="14">
        <v>405</v>
      </c>
      <c r="BI29" s="17">
        <v>13</v>
      </c>
      <c r="BJ29" s="12" t="s">
        <v>74</v>
      </c>
      <c r="BK29" s="24">
        <f t="shared" si="43"/>
        <v>12911.999999999998</v>
      </c>
      <c r="BL29" s="14">
        <v>0</v>
      </c>
      <c r="BM29" s="14">
        <v>1459.06</v>
      </c>
      <c r="BN29" s="14">
        <v>671.42</v>
      </c>
      <c r="BO29" s="14">
        <v>1860.62</v>
      </c>
      <c r="BP29" s="14">
        <v>1243.43</v>
      </c>
      <c r="BQ29" s="14">
        <v>2016.85</v>
      </c>
      <c r="BR29" s="14">
        <v>1514.58</v>
      </c>
      <c r="BS29" s="14">
        <v>548.76</v>
      </c>
      <c r="BT29" s="14">
        <v>1133.67</v>
      </c>
      <c r="BU29" s="14">
        <v>1592.05</v>
      </c>
      <c r="BV29" s="14">
        <v>871.56</v>
      </c>
      <c r="BW29" s="17">
        <v>13</v>
      </c>
      <c r="BX29" s="12" t="s">
        <v>74</v>
      </c>
      <c r="BY29" s="24">
        <f t="shared" si="45"/>
        <v>0</v>
      </c>
      <c r="BZ29" s="14">
        <v>0</v>
      </c>
      <c r="CA29" s="14">
        <v>0</v>
      </c>
      <c r="CB29" s="14">
        <v>0</v>
      </c>
      <c r="CC29" s="14">
        <v>0</v>
      </c>
      <c r="CD29" s="14">
        <v>0</v>
      </c>
      <c r="CE29" s="14">
        <v>0</v>
      </c>
      <c r="CF29" s="14">
        <v>0</v>
      </c>
      <c r="CG29" s="14">
        <v>0</v>
      </c>
      <c r="CH29" s="14">
        <v>0</v>
      </c>
      <c r="CI29" s="14">
        <v>0</v>
      </c>
      <c r="CJ29" s="14">
        <v>0</v>
      </c>
      <c r="CK29" s="17">
        <v>13</v>
      </c>
      <c r="CL29" s="12" t="s">
        <v>74</v>
      </c>
      <c r="CM29" s="24">
        <f t="shared" si="55"/>
        <v>0</v>
      </c>
      <c r="CN29" s="14">
        <v>0</v>
      </c>
      <c r="CO29" s="14">
        <v>0</v>
      </c>
      <c r="CP29" s="14">
        <v>0</v>
      </c>
      <c r="CQ29" s="14">
        <v>0</v>
      </c>
      <c r="CR29" s="14">
        <v>0</v>
      </c>
      <c r="CS29" s="14">
        <v>0</v>
      </c>
      <c r="CT29" s="14">
        <v>0</v>
      </c>
      <c r="CU29" s="14">
        <v>0</v>
      </c>
      <c r="CV29" s="14">
        <v>0</v>
      </c>
      <c r="CW29" s="14">
        <v>0</v>
      </c>
      <c r="CX29" s="14">
        <v>0</v>
      </c>
      <c r="CY29" s="17">
        <v>13</v>
      </c>
      <c r="CZ29" s="12" t="s">
        <v>74</v>
      </c>
      <c r="DA29" s="24">
        <f t="shared" ref="DA29:DA30" si="60">SUM(DC29:DL29)</f>
        <v>6000</v>
      </c>
      <c r="DB29" s="14">
        <v>0</v>
      </c>
      <c r="DC29" s="14">
        <v>678</v>
      </c>
      <c r="DD29" s="14">
        <v>312</v>
      </c>
      <c r="DE29" s="14">
        <v>864.6</v>
      </c>
      <c r="DF29" s="14">
        <v>577.79999999999995</v>
      </c>
      <c r="DG29" s="14">
        <v>937.2</v>
      </c>
      <c r="DH29" s="14">
        <v>703.8</v>
      </c>
      <c r="DI29" s="14">
        <v>255</v>
      </c>
      <c r="DJ29" s="14">
        <v>526.79999999999995</v>
      </c>
      <c r="DK29" s="14">
        <v>739.8</v>
      </c>
      <c r="DL29" s="14">
        <v>405</v>
      </c>
      <c r="DM29" s="17">
        <v>13</v>
      </c>
      <c r="DN29" s="12" t="s">
        <v>74</v>
      </c>
      <c r="DO29" s="24">
        <f t="shared" ref="DO29:DO30" si="61">SUM(DQ29:DZ29)</f>
        <v>2900</v>
      </c>
      <c r="DP29" s="14">
        <v>0</v>
      </c>
      <c r="DQ29" s="14">
        <v>327.7</v>
      </c>
      <c r="DR29" s="14">
        <v>150.80000000000001</v>
      </c>
      <c r="DS29" s="14">
        <v>417.89</v>
      </c>
      <c r="DT29" s="14">
        <v>279.27</v>
      </c>
      <c r="DU29" s="14">
        <v>452.98</v>
      </c>
      <c r="DV29" s="14">
        <v>340.17</v>
      </c>
      <c r="DW29" s="14">
        <v>123.25</v>
      </c>
      <c r="DX29" s="14">
        <v>254.62</v>
      </c>
      <c r="DY29" s="14">
        <v>357.57</v>
      </c>
      <c r="DZ29" s="14">
        <v>195.75</v>
      </c>
      <c r="EA29" s="17">
        <v>13</v>
      </c>
      <c r="EB29" s="12" t="s">
        <v>74</v>
      </c>
      <c r="EC29" s="24">
        <f t="shared" ref="EC29:EC30" si="62">SUM(EE29:EN29)</f>
        <v>0</v>
      </c>
      <c r="ED29" s="14">
        <v>0</v>
      </c>
      <c r="EE29" s="14">
        <v>0</v>
      </c>
      <c r="EF29" s="14">
        <v>0</v>
      </c>
      <c r="EG29" s="14">
        <v>0</v>
      </c>
      <c r="EH29" s="14">
        <v>0</v>
      </c>
      <c r="EI29" s="14">
        <v>0</v>
      </c>
      <c r="EJ29" s="14">
        <v>0</v>
      </c>
      <c r="EK29" s="14">
        <v>0</v>
      </c>
      <c r="EL29" s="14">
        <v>0</v>
      </c>
      <c r="EM29" s="14">
        <v>0</v>
      </c>
      <c r="EN29" s="14">
        <v>0</v>
      </c>
      <c r="EO29" s="17">
        <v>13</v>
      </c>
      <c r="EP29" s="12" t="s">
        <v>74</v>
      </c>
      <c r="EQ29" s="24">
        <f t="shared" ref="EQ29:EQ30" si="63">SUM(ES29:FB29)</f>
        <v>22512</v>
      </c>
      <c r="ER29" s="14">
        <v>0</v>
      </c>
      <c r="ES29" s="14">
        <f>2543.86</f>
        <v>2543.86</v>
      </c>
      <c r="ET29" s="14">
        <f>1170.62</f>
        <v>1170.6199999999999</v>
      </c>
      <c r="EU29" s="14">
        <f>3243.98</f>
        <v>3243.98</v>
      </c>
      <c r="EV29" s="14">
        <f>2167.91</f>
        <v>2167.91</v>
      </c>
      <c r="EW29" s="14">
        <f>3516.37</f>
        <v>3516.37</v>
      </c>
      <c r="EX29" s="14">
        <f>2640.66</f>
        <v>2640.66</v>
      </c>
      <c r="EY29" s="14">
        <f>956.76</f>
        <v>956.76</v>
      </c>
      <c r="EZ29" s="14">
        <f>1976.55</f>
        <v>1976.55</v>
      </c>
      <c r="FA29" s="14">
        <f>2775.73</f>
        <v>2775.73</v>
      </c>
      <c r="FB29" s="14">
        <f>1519.56</f>
        <v>1519.56</v>
      </c>
    </row>
    <row r="30" spans="1:158" s="19" customFormat="1" ht="12" customHeight="1" x14ac:dyDescent="0.2">
      <c r="A30" s="57">
        <v>8</v>
      </c>
      <c r="B30" s="12" t="s">
        <v>26</v>
      </c>
      <c r="C30" s="24">
        <f t="shared" si="22"/>
        <v>0</v>
      </c>
      <c r="D30" s="14"/>
      <c r="E30" s="14">
        <f t="shared" si="23"/>
        <v>0</v>
      </c>
      <c r="F30" s="14">
        <f t="shared" si="24"/>
        <v>0</v>
      </c>
      <c r="G30" s="14">
        <f t="shared" si="25"/>
        <v>0</v>
      </c>
      <c r="H30" s="14">
        <f t="shared" si="16"/>
        <v>0</v>
      </c>
      <c r="I30" s="14">
        <f t="shared" si="16"/>
        <v>0</v>
      </c>
      <c r="J30" s="14">
        <f t="shared" si="16"/>
        <v>0</v>
      </c>
      <c r="K30" s="14">
        <f t="shared" si="16"/>
        <v>0</v>
      </c>
      <c r="L30" s="14">
        <f t="shared" si="16"/>
        <v>0</v>
      </c>
      <c r="M30" s="14">
        <f t="shared" si="16"/>
        <v>0</v>
      </c>
      <c r="N30" s="14">
        <f t="shared" si="16"/>
        <v>0</v>
      </c>
      <c r="O30" s="57">
        <v>14</v>
      </c>
      <c r="P30" s="12" t="s">
        <v>26</v>
      </c>
      <c r="Q30" s="24">
        <f>S30+T30</f>
        <v>0</v>
      </c>
      <c r="R30" s="14">
        <f>R18*14.9/100</f>
        <v>0</v>
      </c>
      <c r="S30" s="14">
        <v>0</v>
      </c>
      <c r="T30" s="14">
        <f>8500*T7/46411</f>
        <v>0</v>
      </c>
      <c r="U30" s="57">
        <v>14</v>
      </c>
      <c r="V30" s="12" t="s">
        <v>26</v>
      </c>
      <c r="W30" s="24">
        <f>Y30+Z30</f>
        <v>0</v>
      </c>
      <c r="X30" s="14">
        <f>X18*14.9/100</f>
        <v>0</v>
      </c>
      <c r="Y30" s="14">
        <v>0</v>
      </c>
      <c r="Z30" s="14">
        <f>8500*Z7/46411</f>
        <v>0</v>
      </c>
      <c r="AA30" s="57">
        <v>14</v>
      </c>
      <c r="AB30" s="12" t="s">
        <v>26</v>
      </c>
      <c r="AC30" s="24">
        <f>AE30+AF30</f>
        <v>0</v>
      </c>
      <c r="AD30" s="14">
        <f>AD18*14.9/100</f>
        <v>0</v>
      </c>
      <c r="AE30" s="14">
        <v>0</v>
      </c>
      <c r="AF30" s="14">
        <f>8500*AF7/46411</f>
        <v>0</v>
      </c>
      <c r="AG30" s="57">
        <v>14</v>
      </c>
      <c r="AH30" s="12" t="s">
        <v>26</v>
      </c>
      <c r="AI30" s="24">
        <f t="shared" si="38"/>
        <v>0</v>
      </c>
      <c r="AJ30" s="14">
        <v>0</v>
      </c>
      <c r="AK30" s="14">
        <v>0</v>
      </c>
      <c r="AL30" s="14">
        <f>8500*AL7/46411</f>
        <v>0</v>
      </c>
      <c r="AM30" s="14">
        <v>0</v>
      </c>
      <c r="AN30" s="14">
        <f>8500*AN7/46411</f>
        <v>0</v>
      </c>
      <c r="AO30" s="14">
        <v>0</v>
      </c>
      <c r="AP30" s="14">
        <f>8500*AP7/46411</f>
        <v>0</v>
      </c>
      <c r="AQ30" s="14">
        <v>0</v>
      </c>
      <c r="AR30" s="14">
        <f>8500*AR7/46411</f>
        <v>0</v>
      </c>
      <c r="AS30" s="14">
        <v>0</v>
      </c>
      <c r="AT30" s="14">
        <f>8500*AT7/46411</f>
        <v>0</v>
      </c>
      <c r="AU30" s="57">
        <v>14</v>
      </c>
      <c r="AV30" s="12" t="s">
        <v>26</v>
      </c>
      <c r="AW30" s="24">
        <f t="shared" si="41"/>
        <v>0</v>
      </c>
      <c r="AX30" s="14">
        <v>0</v>
      </c>
      <c r="AY30" s="14">
        <v>0</v>
      </c>
      <c r="AZ30" s="14">
        <f>8500*AZ7/46411</f>
        <v>0</v>
      </c>
      <c r="BA30" s="14"/>
      <c r="BB30" s="14">
        <f>8500*BB7/46411</f>
        <v>0</v>
      </c>
      <c r="BC30" s="14">
        <v>0</v>
      </c>
      <c r="BD30" s="14">
        <f>8500*BD7/46411</f>
        <v>0</v>
      </c>
      <c r="BE30" s="14">
        <v>0</v>
      </c>
      <c r="BF30" s="14">
        <f>8500*BF7/46411</f>
        <v>0</v>
      </c>
      <c r="BG30" s="14">
        <v>0</v>
      </c>
      <c r="BH30" s="14">
        <f>8500*BH7/46411</f>
        <v>0</v>
      </c>
      <c r="BI30" s="57">
        <v>14</v>
      </c>
      <c r="BJ30" s="12" t="s">
        <v>26</v>
      </c>
      <c r="BK30" s="24">
        <f t="shared" si="43"/>
        <v>0</v>
      </c>
      <c r="BL30" s="14">
        <v>0</v>
      </c>
      <c r="BM30" s="14">
        <v>0</v>
      </c>
      <c r="BN30" s="14">
        <f>8500*BN7/46411</f>
        <v>0</v>
      </c>
      <c r="BO30" s="14"/>
      <c r="BP30" s="14">
        <f>8500*BP7/46411</f>
        <v>0</v>
      </c>
      <c r="BQ30" s="14">
        <v>0</v>
      </c>
      <c r="BR30" s="14">
        <f>8500*BR7/46411</f>
        <v>0</v>
      </c>
      <c r="BS30" s="14">
        <v>0</v>
      </c>
      <c r="BT30" s="14">
        <f>8500*BT7/46411</f>
        <v>0</v>
      </c>
      <c r="BU30" s="14">
        <v>0</v>
      </c>
      <c r="BV30" s="14">
        <f>8500*BV7/46411</f>
        <v>0</v>
      </c>
      <c r="BW30" s="57">
        <v>14</v>
      </c>
      <c r="BX30" s="12" t="s">
        <v>26</v>
      </c>
      <c r="BY30" s="24">
        <f t="shared" si="45"/>
        <v>0</v>
      </c>
      <c r="BZ30" s="14">
        <v>0</v>
      </c>
      <c r="CA30" s="14">
        <v>0</v>
      </c>
      <c r="CB30" s="14">
        <f>8500*CB7/46411</f>
        <v>0</v>
      </c>
      <c r="CC30" s="14"/>
      <c r="CD30" s="14">
        <f>8500*CD7/46411</f>
        <v>0</v>
      </c>
      <c r="CE30" s="14">
        <v>0</v>
      </c>
      <c r="CF30" s="14">
        <f>8500*CF7/46411</f>
        <v>0</v>
      </c>
      <c r="CG30" s="14">
        <v>0</v>
      </c>
      <c r="CH30" s="14">
        <f>8500*CH7/46411</f>
        <v>0</v>
      </c>
      <c r="CI30" s="14">
        <v>0</v>
      </c>
      <c r="CJ30" s="14">
        <f>8500*CJ7/46411</f>
        <v>0</v>
      </c>
      <c r="CK30" s="57">
        <v>14</v>
      </c>
      <c r="CL30" s="12" t="s">
        <v>26</v>
      </c>
      <c r="CM30" s="24">
        <f t="shared" si="55"/>
        <v>0</v>
      </c>
      <c r="CN30" s="14">
        <v>0</v>
      </c>
      <c r="CO30" s="14">
        <v>0</v>
      </c>
      <c r="CP30" s="14">
        <f>8500*CP7/46411</f>
        <v>0</v>
      </c>
      <c r="CQ30" s="14"/>
      <c r="CR30" s="14">
        <f>8500*CR7/46411</f>
        <v>0</v>
      </c>
      <c r="CS30" s="14">
        <v>0</v>
      </c>
      <c r="CT30" s="14">
        <f>8500*CT7/46411</f>
        <v>0</v>
      </c>
      <c r="CU30" s="14">
        <v>0</v>
      </c>
      <c r="CV30" s="14">
        <f>8500*CV7/46411</f>
        <v>0</v>
      </c>
      <c r="CW30" s="14">
        <v>0</v>
      </c>
      <c r="CX30" s="14">
        <f>8500*CX7/46411</f>
        <v>0</v>
      </c>
      <c r="CY30" s="57">
        <v>14</v>
      </c>
      <c r="CZ30" s="12" t="s">
        <v>26</v>
      </c>
      <c r="DA30" s="24">
        <f t="shared" si="60"/>
        <v>0</v>
      </c>
      <c r="DB30" s="14">
        <v>0</v>
      </c>
      <c r="DC30" s="14">
        <v>0</v>
      </c>
      <c r="DD30" s="14">
        <f>8500*DD7/46411</f>
        <v>0</v>
      </c>
      <c r="DE30" s="14"/>
      <c r="DF30" s="14">
        <f>8500*DF7/46411</f>
        <v>0</v>
      </c>
      <c r="DG30" s="14">
        <v>0</v>
      </c>
      <c r="DH30" s="14">
        <f>8500*DH7/46411</f>
        <v>0</v>
      </c>
      <c r="DI30" s="14">
        <v>0</v>
      </c>
      <c r="DJ30" s="14">
        <f>8500*DJ7/46411</f>
        <v>0</v>
      </c>
      <c r="DK30" s="14">
        <v>0</v>
      </c>
      <c r="DL30" s="14">
        <f>8500*DL7/46411</f>
        <v>0</v>
      </c>
      <c r="DM30" s="57">
        <v>14</v>
      </c>
      <c r="DN30" s="12" t="s">
        <v>26</v>
      </c>
      <c r="DO30" s="24">
        <f t="shared" si="61"/>
        <v>0</v>
      </c>
      <c r="DP30" s="14">
        <v>0</v>
      </c>
      <c r="DQ30" s="14">
        <v>0</v>
      </c>
      <c r="DR30" s="14">
        <f>8500*DR7/46411</f>
        <v>0</v>
      </c>
      <c r="DS30" s="14"/>
      <c r="DT30" s="14">
        <f>8500*DT7/46411</f>
        <v>0</v>
      </c>
      <c r="DU30" s="14">
        <v>0</v>
      </c>
      <c r="DV30" s="14">
        <f>8500*DV7/46411</f>
        <v>0</v>
      </c>
      <c r="DW30" s="14">
        <v>0</v>
      </c>
      <c r="DX30" s="14">
        <f>8500*DX7/46411</f>
        <v>0</v>
      </c>
      <c r="DY30" s="14">
        <v>0</v>
      </c>
      <c r="DZ30" s="14">
        <f>8500*DZ7/46411</f>
        <v>0</v>
      </c>
      <c r="EA30" s="57">
        <v>14</v>
      </c>
      <c r="EB30" s="12" t="s">
        <v>26</v>
      </c>
      <c r="EC30" s="24">
        <f t="shared" si="62"/>
        <v>0</v>
      </c>
      <c r="ED30" s="14">
        <v>0</v>
      </c>
      <c r="EE30" s="14">
        <v>0</v>
      </c>
      <c r="EF30" s="14">
        <f>8500*EF7/46411</f>
        <v>0</v>
      </c>
      <c r="EG30" s="14"/>
      <c r="EH30" s="14">
        <f>8500*EH7/46411</f>
        <v>0</v>
      </c>
      <c r="EI30" s="14">
        <v>0</v>
      </c>
      <c r="EJ30" s="14">
        <f>8500*EJ7/46411</f>
        <v>0</v>
      </c>
      <c r="EK30" s="14">
        <v>0</v>
      </c>
      <c r="EL30" s="14">
        <f>8500*EL7/46411</f>
        <v>0</v>
      </c>
      <c r="EM30" s="14">
        <v>0</v>
      </c>
      <c r="EN30" s="14">
        <f>8500*EN7/46411</f>
        <v>0</v>
      </c>
      <c r="EO30" s="57">
        <v>14</v>
      </c>
      <c r="EP30" s="12" t="s">
        <v>26</v>
      </c>
      <c r="EQ30" s="24">
        <f t="shared" si="63"/>
        <v>0</v>
      </c>
      <c r="ER30" s="14">
        <v>0</v>
      </c>
      <c r="ES30" s="14">
        <v>0</v>
      </c>
      <c r="ET30" s="14">
        <f>8500*ET7/46411</f>
        <v>0</v>
      </c>
      <c r="EU30" s="14">
        <v>0</v>
      </c>
      <c r="EV30" s="14">
        <f>8500*EV7/46411</f>
        <v>0</v>
      </c>
      <c r="EW30" s="14">
        <v>0</v>
      </c>
      <c r="EX30" s="14">
        <v>0</v>
      </c>
      <c r="EY30" s="14">
        <v>0</v>
      </c>
      <c r="EZ30" s="14">
        <v>0</v>
      </c>
      <c r="FA30" s="14">
        <v>0</v>
      </c>
      <c r="FB30" s="14">
        <f>8500*FB7/46411</f>
        <v>0</v>
      </c>
    </row>
    <row r="31" spans="1:158" s="19" customFormat="1" ht="12" customHeight="1" x14ac:dyDescent="0.2">
      <c r="A31" s="57">
        <v>9</v>
      </c>
      <c r="B31" s="12" t="s">
        <v>27</v>
      </c>
      <c r="C31" s="24">
        <f t="shared" si="22"/>
        <v>9559.8799999999992</v>
      </c>
      <c r="D31" s="14"/>
      <c r="E31" s="14">
        <f t="shared" si="23"/>
        <v>0</v>
      </c>
      <c r="F31" s="14">
        <f t="shared" si="24"/>
        <v>288.2</v>
      </c>
      <c r="G31" s="14">
        <f t="shared" si="25"/>
        <v>2271.6799999999998</v>
      </c>
      <c r="H31" s="14">
        <f t="shared" si="16"/>
        <v>0</v>
      </c>
      <c r="I31" s="14">
        <f t="shared" si="16"/>
        <v>0</v>
      </c>
      <c r="J31" s="14">
        <f t="shared" si="16"/>
        <v>2214.19</v>
      </c>
      <c r="K31" s="14">
        <f t="shared" si="16"/>
        <v>802.36</v>
      </c>
      <c r="L31" s="14">
        <f t="shared" si="16"/>
        <v>1655.92</v>
      </c>
      <c r="M31" s="14">
        <f t="shared" si="16"/>
        <v>2327.5299999999997</v>
      </c>
      <c r="N31" s="14">
        <f t="shared" si="16"/>
        <v>0</v>
      </c>
      <c r="O31" s="57">
        <v>15</v>
      </c>
      <c r="P31" s="12" t="s">
        <v>27</v>
      </c>
      <c r="Q31" s="24">
        <f>S31+T31</f>
        <v>0</v>
      </c>
      <c r="R31" s="14">
        <f>R20*14.9/100</f>
        <v>0</v>
      </c>
      <c r="S31" s="14">
        <v>0</v>
      </c>
      <c r="T31" s="14">
        <v>0</v>
      </c>
      <c r="U31" s="57">
        <v>15</v>
      </c>
      <c r="V31" s="12" t="s">
        <v>27</v>
      </c>
      <c r="W31" s="24">
        <f>Y31+Z31</f>
        <v>0</v>
      </c>
      <c r="X31" s="14">
        <f>X20*14.9/100</f>
        <v>0</v>
      </c>
      <c r="Y31" s="14">
        <v>0</v>
      </c>
      <c r="Z31" s="14">
        <v>0</v>
      </c>
      <c r="AA31" s="57">
        <v>15</v>
      </c>
      <c r="AB31" s="12" t="s">
        <v>27</v>
      </c>
      <c r="AC31" s="24">
        <f>AE31+AF31</f>
        <v>0</v>
      </c>
      <c r="AD31" s="14">
        <f>AD20*14.9/100</f>
        <v>0</v>
      </c>
      <c r="AE31" s="14">
        <v>0</v>
      </c>
      <c r="AF31" s="14">
        <v>0</v>
      </c>
      <c r="AG31" s="57">
        <v>15</v>
      </c>
      <c r="AH31" s="12" t="s">
        <v>27</v>
      </c>
      <c r="AI31" s="24">
        <f t="shared" si="38"/>
        <v>0</v>
      </c>
      <c r="AJ31" s="14">
        <v>0</v>
      </c>
      <c r="AK31" s="14">
        <v>0</v>
      </c>
      <c r="AL31" s="14">
        <v>0</v>
      </c>
      <c r="AM31" s="14">
        <v>0</v>
      </c>
      <c r="AN31" s="14">
        <v>0</v>
      </c>
      <c r="AO31" s="14">
        <v>0</v>
      </c>
      <c r="AP31" s="14">
        <v>0</v>
      </c>
      <c r="AQ31" s="14">
        <v>0</v>
      </c>
      <c r="AR31" s="14">
        <v>0</v>
      </c>
      <c r="AS31" s="14">
        <v>0</v>
      </c>
      <c r="AT31" s="14">
        <v>0</v>
      </c>
      <c r="AU31" s="57">
        <v>15</v>
      </c>
      <c r="AV31" s="12" t="s">
        <v>27</v>
      </c>
      <c r="AW31" s="24">
        <f t="shared" si="41"/>
        <v>0</v>
      </c>
      <c r="AX31" s="14">
        <v>0</v>
      </c>
      <c r="AY31" s="14">
        <v>0</v>
      </c>
      <c r="AZ31" s="14">
        <v>0</v>
      </c>
      <c r="BA31" s="14">
        <v>0</v>
      </c>
      <c r="BB31" s="14">
        <v>0</v>
      </c>
      <c r="BC31" s="14">
        <v>0</v>
      </c>
      <c r="BD31" s="14">
        <v>0</v>
      </c>
      <c r="BE31" s="14">
        <v>0</v>
      </c>
      <c r="BF31" s="14">
        <v>0</v>
      </c>
      <c r="BG31" s="14">
        <v>0</v>
      </c>
      <c r="BH31" s="14">
        <v>0</v>
      </c>
      <c r="BI31" s="57">
        <v>15</v>
      </c>
      <c r="BJ31" s="12" t="s">
        <v>27</v>
      </c>
      <c r="BK31" s="24">
        <f t="shared" si="43"/>
        <v>0</v>
      </c>
      <c r="BL31" s="14">
        <v>0</v>
      </c>
      <c r="BM31" s="14">
        <v>0</v>
      </c>
      <c r="BN31" s="14">
        <v>0</v>
      </c>
      <c r="BO31" s="14">
        <v>0</v>
      </c>
      <c r="BP31" s="14">
        <v>0</v>
      </c>
      <c r="BQ31" s="14">
        <v>0</v>
      </c>
      <c r="BR31" s="14">
        <v>0</v>
      </c>
      <c r="BS31" s="14">
        <v>0</v>
      </c>
      <c r="BT31" s="14">
        <v>0</v>
      </c>
      <c r="BU31" s="14">
        <v>0</v>
      </c>
      <c r="BV31" s="14">
        <v>0</v>
      </c>
      <c r="BW31" s="57">
        <v>15</v>
      </c>
      <c r="BX31" s="12" t="s">
        <v>27</v>
      </c>
      <c r="BY31" s="24">
        <f t="shared" si="45"/>
        <v>2000</v>
      </c>
      <c r="BZ31" s="14">
        <v>0</v>
      </c>
      <c r="CA31" s="14">
        <v>0</v>
      </c>
      <c r="CB31" s="14">
        <v>0</v>
      </c>
      <c r="CC31" s="14">
        <v>0</v>
      </c>
      <c r="CD31" s="14">
        <v>0</v>
      </c>
      <c r="CE31" s="14">
        <v>0</v>
      </c>
      <c r="CF31" s="14">
        <v>632.6</v>
      </c>
      <c r="CG31" s="14">
        <v>229.4</v>
      </c>
      <c r="CH31" s="14">
        <v>473</v>
      </c>
      <c r="CI31" s="14">
        <v>665</v>
      </c>
      <c r="CJ31" s="14">
        <v>0</v>
      </c>
      <c r="CK31" s="57">
        <v>15</v>
      </c>
      <c r="CL31" s="12" t="s">
        <v>27</v>
      </c>
      <c r="CM31" s="24">
        <f>SUM(CO31:CX31)</f>
        <v>0</v>
      </c>
      <c r="CN31" s="14">
        <v>0</v>
      </c>
      <c r="CO31" s="14">
        <v>0</v>
      </c>
      <c r="CP31" s="14">
        <v>0</v>
      </c>
      <c r="CQ31" s="14">
        <v>0</v>
      </c>
      <c r="CR31" s="14">
        <v>0</v>
      </c>
      <c r="CS31" s="14">
        <v>0</v>
      </c>
      <c r="CT31" s="14">
        <v>0</v>
      </c>
      <c r="CU31" s="14">
        <v>0</v>
      </c>
      <c r="CV31" s="14">
        <v>0</v>
      </c>
      <c r="CW31" s="14">
        <v>0</v>
      </c>
      <c r="CX31" s="14">
        <v>0</v>
      </c>
      <c r="CY31" s="57">
        <v>15</v>
      </c>
      <c r="CZ31" s="12" t="s">
        <v>27</v>
      </c>
      <c r="DA31" s="24">
        <f>SUM(DC31:DL31)</f>
        <v>2093.1999999999998</v>
      </c>
      <c r="DB31" s="14">
        <v>0</v>
      </c>
      <c r="DC31" s="14">
        <v>0</v>
      </c>
      <c r="DD31" s="14">
        <v>288.2</v>
      </c>
      <c r="DE31" s="14">
        <f>1805</f>
        <v>1805</v>
      </c>
      <c r="DF31" s="14">
        <v>0</v>
      </c>
      <c r="DG31" s="14">
        <v>0</v>
      </c>
      <c r="DH31" s="14">
        <v>0</v>
      </c>
      <c r="DI31" s="14">
        <v>0</v>
      </c>
      <c r="DJ31" s="14">
        <v>0</v>
      </c>
      <c r="DK31" s="14">
        <v>0</v>
      </c>
      <c r="DL31" s="14">
        <v>0</v>
      </c>
      <c r="DM31" s="57">
        <v>15</v>
      </c>
      <c r="DN31" s="12" t="s">
        <v>27</v>
      </c>
      <c r="DO31" s="24">
        <f>SUM(DQ31:DZ31)</f>
        <v>0</v>
      </c>
      <c r="DP31" s="14">
        <v>0</v>
      </c>
      <c r="DQ31" s="14">
        <v>0</v>
      </c>
      <c r="DR31" s="14">
        <v>0</v>
      </c>
      <c r="DS31" s="14">
        <v>0</v>
      </c>
      <c r="DT31" s="14">
        <v>0</v>
      </c>
      <c r="DU31" s="14">
        <v>0</v>
      </c>
      <c r="DV31" s="14">
        <v>0</v>
      </c>
      <c r="DW31" s="14">
        <v>0</v>
      </c>
      <c r="DX31" s="14">
        <v>0</v>
      </c>
      <c r="DY31" s="14">
        <v>0</v>
      </c>
      <c r="DZ31" s="14">
        <v>0</v>
      </c>
      <c r="EA31" s="57">
        <v>15</v>
      </c>
      <c r="EB31" s="12" t="s">
        <v>27</v>
      </c>
      <c r="EC31" s="24">
        <f>SUM(EE31:EN31)</f>
        <v>2500</v>
      </c>
      <c r="ED31" s="14">
        <v>0</v>
      </c>
      <c r="EE31" s="14">
        <v>0</v>
      </c>
      <c r="EF31" s="14">
        <v>0</v>
      </c>
      <c r="EG31" s="14">
        <v>0</v>
      </c>
      <c r="EH31" s="14">
        <v>0</v>
      </c>
      <c r="EI31" s="14">
        <v>0</v>
      </c>
      <c r="EJ31" s="14">
        <v>790.84</v>
      </c>
      <c r="EK31" s="14">
        <v>286.45999999999998</v>
      </c>
      <c r="EL31" s="14">
        <v>591.41999999999996</v>
      </c>
      <c r="EM31" s="14">
        <v>831.28</v>
      </c>
      <c r="EN31" s="14">
        <v>0</v>
      </c>
      <c r="EO31" s="57">
        <v>15</v>
      </c>
      <c r="EP31" s="12" t="s">
        <v>27</v>
      </c>
      <c r="EQ31" s="24">
        <f>SUM(ES31:FB31)</f>
        <v>2966.6800000000003</v>
      </c>
      <c r="ER31" s="14">
        <v>0</v>
      </c>
      <c r="ES31" s="14">
        <v>0</v>
      </c>
      <c r="ET31" s="14">
        <v>0</v>
      </c>
      <c r="EU31" s="14">
        <v>466.68</v>
      </c>
      <c r="EV31" s="14">
        <v>0</v>
      </c>
      <c r="EW31" s="14">
        <v>0</v>
      </c>
      <c r="EX31" s="14">
        <v>790.75</v>
      </c>
      <c r="EY31" s="14">
        <v>286.5</v>
      </c>
      <c r="EZ31" s="14">
        <v>591.5</v>
      </c>
      <c r="FA31" s="14">
        <v>831.25</v>
      </c>
      <c r="FB31" s="14">
        <v>0</v>
      </c>
    </row>
    <row r="32" spans="1:158" s="19" customFormat="1" ht="12" customHeight="1" x14ac:dyDescent="0.2">
      <c r="A32" s="57">
        <v>10</v>
      </c>
      <c r="B32" s="12" t="s">
        <v>28</v>
      </c>
      <c r="C32" s="24">
        <f t="shared" si="22"/>
        <v>244987.52999999997</v>
      </c>
      <c r="D32" s="14"/>
      <c r="E32" s="14">
        <f t="shared" si="23"/>
        <v>34544.500000000007</v>
      </c>
      <c r="F32" s="14">
        <f t="shared" si="24"/>
        <v>35312.1</v>
      </c>
      <c r="G32" s="14">
        <f t="shared" si="25"/>
        <v>30223.199999999997</v>
      </c>
      <c r="H32" s="14">
        <f t="shared" si="16"/>
        <v>20197.729999999996</v>
      </c>
      <c r="I32" s="14">
        <f t="shared" si="16"/>
        <v>32761.019999999997</v>
      </c>
      <c r="J32" s="14">
        <f t="shared" si="16"/>
        <v>24602.21</v>
      </c>
      <c r="K32" s="14">
        <f t="shared" si="16"/>
        <v>8913.85</v>
      </c>
      <c r="L32" s="14">
        <f t="shared" si="16"/>
        <v>18414.980000000003</v>
      </c>
      <c r="M32" s="14">
        <f t="shared" si="16"/>
        <v>25860.639999999996</v>
      </c>
      <c r="N32" s="14">
        <f t="shared" si="16"/>
        <v>14157.3</v>
      </c>
      <c r="O32" s="57">
        <v>16</v>
      </c>
      <c r="P32" s="12" t="s">
        <v>28</v>
      </c>
      <c r="Q32" s="24">
        <f>SUM(S32:T32)</f>
        <v>8620.4599999999991</v>
      </c>
      <c r="R32" s="14">
        <v>0</v>
      </c>
      <c r="S32" s="14">
        <f>1053+1294.23</f>
        <v>2347.23</v>
      </c>
      <c r="T32" s="14">
        <f>4979+1294.23</f>
        <v>6273.23</v>
      </c>
      <c r="U32" s="57">
        <v>16</v>
      </c>
      <c r="V32" s="12" t="s">
        <v>28</v>
      </c>
      <c r="W32" s="24">
        <f>SUM(Y32:Z32)</f>
        <v>8583.82</v>
      </c>
      <c r="X32" s="14">
        <v>0</v>
      </c>
      <c r="Y32" s="14">
        <f>989.3+1516.44</f>
        <v>2505.7399999999998</v>
      </c>
      <c r="Z32" s="14">
        <f>5379.12+698.96</f>
        <v>6078.08</v>
      </c>
      <c r="AA32" s="57">
        <v>16</v>
      </c>
      <c r="AB32" s="12" t="s">
        <v>28</v>
      </c>
      <c r="AC32" s="24">
        <f>SUM(AE32:AF32)</f>
        <v>9378.24</v>
      </c>
      <c r="AD32" s="14">
        <v>0</v>
      </c>
      <c r="AE32" s="14">
        <f>892.4+1850.75</f>
        <v>2743.15</v>
      </c>
      <c r="AF32" s="14">
        <f>5782.04+853.05</f>
        <v>6635.09</v>
      </c>
      <c r="AG32" s="57">
        <v>16</v>
      </c>
      <c r="AH32" s="12" t="s">
        <v>28</v>
      </c>
      <c r="AI32" s="24">
        <f t="shared" si="38"/>
        <v>8667.3700000000008</v>
      </c>
      <c r="AJ32" s="14">
        <v>0</v>
      </c>
      <c r="AK32" s="14">
        <f>2489.36+758.67</f>
        <v>3248.03</v>
      </c>
      <c r="AL32" s="14">
        <f>4271.95+1147.39</f>
        <v>5419.34</v>
      </c>
      <c r="AM32" s="14">
        <v>0</v>
      </c>
      <c r="AN32" s="14">
        <v>0</v>
      </c>
      <c r="AO32" s="14">
        <v>0</v>
      </c>
      <c r="AP32" s="14">
        <v>0</v>
      </c>
      <c r="AQ32" s="14">
        <v>0</v>
      </c>
      <c r="AR32" s="14">
        <v>0</v>
      </c>
      <c r="AS32" s="14">
        <v>0</v>
      </c>
      <c r="AT32" s="14">
        <v>0</v>
      </c>
      <c r="AU32" s="57">
        <v>16</v>
      </c>
      <c r="AV32" s="12" t="s">
        <v>28</v>
      </c>
      <c r="AW32" s="24">
        <f t="shared" si="41"/>
        <v>24752.25</v>
      </c>
      <c r="AX32" s="14">
        <v>0</v>
      </c>
      <c r="AY32" s="14">
        <v>2797</v>
      </c>
      <c r="AZ32" s="14">
        <v>1287.1199999999999</v>
      </c>
      <c r="BA32" s="14">
        <v>3566.8</v>
      </c>
      <c r="BB32" s="14">
        <v>2383.64</v>
      </c>
      <c r="BC32" s="14">
        <v>3866.3</v>
      </c>
      <c r="BD32" s="14">
        <v>2903.44</v>
      </c>
      <c r="BE32" s="14">
        <v>1051.97</v>
      </c>
      <c r="BF32" s="14">
        <v>2173.25</v>
      </c>
      <c r="BG32" s="14">
        <v>3051.95</v>
      </c>
      <c r="BH32" s="14">
        <v>1670.78</v>
      </c>
      <c r="BI32" s="57">
        <v>16</v>
      </c>
      <c r="BJ32" s="12" t="s">
        <v>28</v>
      </c>
      <c r="BK32" s="24">
        <f t="shared" si="43"/>
        <v>24553.63</v>
      </c>
      <c r="BL32" s="14">
        <v>0</v>
      </c>
      <c r="BM32" s="14">
        <v>2774.56</v>
      </c>
      <c r="BN32" s="14">
        <v>1276.79</v>
      </c>
      <c r="BO32" s="14">
        <v>3538.18</v>
      </c>
      <c r="BP32" s="14">
        <v>2364.5100000000002</v>
      </c>
      <c r="BQ32" s="14">
        <v>3835.28</v>
      </c>
      <c r="BR32" s="14">
        <v>2880.14</v>
      </c>
      <c r="BS32" s="14">
        <v>1043.53</v>
      </c>
      <c r="BT32" s="14">
        <v>2155.81</v>
      </c>
      <c r="BU32" s="14">
        <v>3027.46</v>
      </c>
      <c r="BV32" s="14">
        <v>1657.37</v>
      </c>
      <c r="BW32" s="57">
        <v>16</v>
      </c>
      <c r="BX32" s="12" t="s">
        <v>28</v>
      </c>
      <c r="BY32" s="24">
        <f t="shared" si="45"/>
        <v>22434.809999999998</v>
      </c>
      <c r="BZ32" s="14">
        <v>0</v>
      </c>
      <c r="CA32" s="14">
        <v>2535.13</v>
      </c>
      <c r="CB32" s="14">
        <v>1166.6099999999999</v>
      </c>
      <c r="CC32" s="14">
        <v>3232.86</v>
      </c>
      <c r="CD32" s="14">
        <v>2160.4699999999998</v>
      </c>
      <c r="CE32" s="14">
        <v>3504.32</v>
      </c>
      <c r="CF32" s="14">
        <v>2631.6</v>
      </c>
      <c r="CG32" s="14">
        <v>953.48</v>
      </c>
      <c r="CH32" s="14">
        <v>1969.78</v>
      </c>
      <c r="CI32" s="14">
        <v>2766.21</v>
      </c>
      <c r="CJ32" s="14">
        <v>1514.35</v>
      </c>
      <c r="CK32" s="57">
        <v>16</v>
      </c>
      <c r="CL32" s="12" t="s">
        <v>28</v>
      </c>
      <c r="CM32" s="24">
        <f>SUM(CO32:CX32)</f>
        <v>24211.94</v>
      </c>
      <c r="CN32" s="14">
        <v>0</v>
      </c>
      <c r="CO32" s="14">
        <v>2735.95</v>
      </c>
      <c r="CP32" s="14">
        <v>1259.02</v>
      </c>
      <c r="CQ32" s="14">
        <v>3488.94</v>
      </c>
      <c r="CR32" s="14">
        <v>2331.61</v>
      </c>
      <c r="CS32" s="14">
        <v>3781.9</v>
      </c>
      <c r="CT32" s="14">
        <v>2840.06</v>
      </c>
      <c r="CU32" s="14">
        <v>1029.01</v>
      </c>
      <c r="CV32" s="14">
        <v>2125.81</v>
      </c>
      <c r="CW32" s="14">
        <v>2985.33</v>
      </c>
      <c r="CX32" s="14">
        <v>1634.31</v>
      </c>
      <c r="CY32" s="57">
        <v>16</v>
      </c>
      <c r="CZ32" s="12" t="s">
        <v>28</v>
      </c>
      <c r="DA32" s="24">
        <f>SUM(DC32:DL32)</f>
        <v>22819.969999999998</v>
      </c>
      <c r="DB32" s="14">
        <v>0</v>
      </c>
      <c r="DC32" s="14">
        <v>2578.66</v>
      </c>
      <c r="DD32" s="14">
        <v>1186.6400000000001</v>
      </c>
      <c r="DE32" s="14">
        <v>3288.36</v>
      </c>
      <c r="DF32" s="14">
        <v>2197.56</v>
      </c>
      <c r="DG32" s="14">
        <v>3564.48</v>
      </c>
      <c r="DH32" s="14">
        <v>2676.78</v>
      </c>
      <c r="DI32" s="14">
        <v>969.85</v>
      </c>
      <c r="DJ32" s="14">
        <v>2003.59</v>
      </c>
      <c r="DK32" s="14">
        <v>2813.7</v>
      </c>
      <c r="DL32" s="14">
        <v>1540.35</v>
      </c>
      <c r="DM32" s="57">
        <v>16</v>
      </c>
      <c r="DN32" s="12" t="s">
        <v>28</v>
      </c>
      <c r="DO32" s="24">
        <f>SUM(DQ32:DZ32)</f>
        <v>28282.32</v>
      </c>
      <c r="DP32" s="14">
        <v>0</v>
      </c>
      <c r="DQ32" s="14">
        <v>3195.9</v>
      </c>
      <c r="DR32" s="14">
        <v>1470.68</v>
      </c>
      <c r="DS32" s="14">
        <v>4075.48</v>
      </c>
      <c r="DT32" s="14">
        <v>2723.59</v>
      </c>
      <c r="DU32" s="14">
        <v>4417.7</v>
      </c>
      <c r="DV32" s="14">
        <v>3317.51</v>
      </c>
      <c r="DW32" s="14">
        <v>1202</v>
      </c>
      <c r="DX32" s="14">
        <v>2483.19</v>
      </c>
      <c r="DY32" s="14">
        <v>3487.21</v>
      </c>
      <c r="DZ32" s="14">
        <v>1909.06</v>
      </c>
      <c r="EA32" s="57">
        <v>16</v>
      </c>
      <c r="EB32" s="12" t="s">
        <v>28</v>
      </c>
      <c r="EC32" s="24">
        <f>SUM(EE32:EN32)</f>
        <v>29171.829999999998</v>
      </c>
      <c r="ED32" s="14">
        <v>0</v>
      </c>
      <c r="EE32" s="14">
        <v>3296.42</v>
      </c>
      <c r="EF32" s="14">
        <v>1516.93</v>
      </c>
      <c r="EG32" s="14">
        <v>4203.66</v>
      </c>
      <c r="EH32" s="14">
        <v>2809.25</v>
      </c>
      <c r="EI32" s="14">
        <v>4556.6400000000003</v>
      </c>
      <c r="EJ32" s="14">
        <v>3421.85</v>
      </c>
      <c r="EK32" s="14">
        <v>1239.8</v>
      </c>
      <c r="EL32" s="14">
        <v>2561.29</v>
      </c>
      <c r="EM32" s="14">
        <v>3596.89</v>
      </c>
      <c r="EN32" s="14">
        <v>1969.1</v>
      </c>
      <c r="EO32" s="57">
        <v>16</v>
      </c>
      <c r="EP32" s="12" t="s">
        <v>28</v>
      </c>
      <c r="EQ32" s="24">
        <f>SUM(ES32:FB32)</f>
        <v>33510.890000000007</v>
      </c>
      <c r="ER32" s="14">
        <v>0</v>
      </c>
      <c r="ES32" s="14">
        <v>3786.73</v>
      </c>
      <c r="ET32" s="14">
        <v>1742.57</v>
      </c>
      <c r="EU32" s="14">
        <v>4828.92</v>
      </c>
      <c r="EV32" s="14">
        <v>3227.1</v>
      </c>
      <c r="EW32" s="14">
        <v>5234.3999999999996</v>
      </c>
      <c r="EX32" s="14">
        <v>3930.83</v>
      </c>
      <c r="EY32" s="14">
        <v>1424.21</v>
      </c>
      <c r="EZ32" s="14">
        <v>2942.26</v>
      </c>
      <c r="FA32" s="14">
        <v>4131.8900000000003</v>
      </c>
      <c r="FB32" s="14">
        <v>2261.98</v>
      </c>
    </row>
    <row r="33" spans="1:158" s="19" customFormat="1" ht="12" customHeight="1" x14ac:dyDescent="0.2">
      <c r="A33" s="57">
        <v>11</v>
      </c>
      <c r="B33" s="12" t="s">
        <v>29</v>
      </c>
      <c r="C33" s="24">
        <f t="shared" si="22"/>
        <v>0</v>
      </c>
      <c r="D33" s="14"/>
      <c r="E33" s="14">
        <f t="shared" si="23"/>
        <v>0</v>
      </c>
      <c r="F33" s="14">
        <f t="shared" si="24"/>
        <v>0</v>
      </c>
      <c r="G33" s="14">
        <f t="shared" si="25"/>
        <v>0</v>
      </c>
      <c r="H33" s="14">
        <f t="shared" ref="H33:N53" si="64">AN33+BB33+BP33+CD33+CR33+DF33+DT33+EH33+EV33</f>
        <v>0</v>
      </c>
      <c r="I33" s="14">
        <f t="shared" si="64"/>
        <v>0</v>
      </c>
      <c r="J33" s="14">
        <f t="shared" si="64"/>
        <v>0</v>
      </c>
      <c r="K33" s="14">
        <f t="shared" si="64"/>
        <v>0</v>
      </c>
      <c r="L33" s="14">
        <f t="shared" si="64"/>
        <v>0</v>
      </c>
      <c r="M33" s="14">
        <f t="shared" si="64"/>
        <v>0</v>
      </c>
      <c r="N33" s="14">
        <f t="shared" si="64"/>
        <v>0</v>
      </c>
      <c r="O33" s="57">
        <v>17</v>
      </c>
      <c r="P33" s="12" t="s">
        <v>29</v>
      </c>
      <c r="Q33" s="24">
        <f>S33+T33</f>
        <v>0</v>
      </c>
      <c r="R33" s="14">
        <v>0</v>
      </c>
      <c r="S33" s="14">
        <v>0</v>
      </c>
      <c r="T33" s="14">
        <v>0</v>
      </c>
      <c r="U33" s="57">
        <v>17</v>
      </c>
      <c r="V33" s="12" t="s">
        <v>29</v>
      </c>
      <c r="W33" s="24">
        <f>Y33+Z33</f>
        <v>0</v>
      </c>
      <c r="X33" s="14">
        <v>0</v>
      </c>
      <c r="Y33" s="14">
        <v>0</v>
      </c>
      <c r="Z33" s="14">
        <v>0</v>
      </c>
      <c r="AA33" s="57">
        <v>17</v>
      </c>
      <c r="AB33" s="12" t="s">
        <v>29</v>
      </c>
      <c r="AC33" s="24">
        <f>AE33+AF33</f>
        <v>0</v>
      </c>
      <c r="AD33" s="14">
        <v>0</v>
      </c>
      <c r="AE33" s="14">
        <v>0</v>
      </c>
      <c r="AF33" s="14">
        <v>0</v>
      </c>
      <c r="AG33" s="57">
        <v>17</v>
      </c>
      <c r="AH33" s="12" t="s">
        <v>29</v>
      </c>
      <c r="AI33" s="24">
        <f t="shared" si="38"/>
        <v>0</v>
      </c>
      <c r="AJ33" s="14">
        <v>0</v>
      </c>
      <c r="AK33" s="14">
        <v>0</v>
      </c>
      <c r="AL33" s="14">
        <v>0</v>
      </c>
      <c r="AM33" s="14">
        <v>0</v>
      </c>
      <c r="AN33" s="14">
        <v>0</v>
      </c>
      <c r="AO33" s="14">
        <v>0</v>
      </c>
      <c r="AP33" s="14">
        <v>0</v>
      </c>
      <c r="AQ33" s="14">
        <v>0</v>
      </c>
      <c r="AR33" s="14">
        <v>0</v>
      </c>
      <c r="AS33" s="14">
        <v>0</v>
      </c>
      <c r="AT33" s="14">
        <v>0</v>
      </c>
      <c r="AU33" s="57">
        <v>17</v>
      </c>
      <c r="AV33" s="12" t="s">
        <v>29</v>
      </c>
      <c r="AW33" s="24">
        <f t="shared" si="41"/>
        <v>0</v>
      </c>
      <c r="AX33" s="14">
        <v>0</v>
      </c>
      <c r="AY33" s="14">
        <v>0</v>
      </c>
      <c r="AZ33" s="14">
        <v>0</v>
      </c>
      <c r="BA33" s="14">
        <v>0</v>
      </c>
      <c r="BB33" s="14">
        <v>0</v>
      </c>
      <c r="BC33" s="14">
        <v>0</v>
      </c>
      <c r="BD33" s="14">
        <v>0</v>
      </c>
      <c r="BE33" s="14">
        <v>0</v>
      </c>
      <c r="BF33" s="14">
        <v>0</v>
      </c>
      <c r="BG33" s="14">
        <v>0</v>
      </c>
      <c r="BH33" s="14">
        <v>0</v>
      </c>
      <c r="BI33" s="57">
        <v>17</v>
      </c>
      <c r="BJ33" s="12" t="s">
        <v>29</v>
      </c>
      <c r="BK33" s="24">
        <f t="shared" si="43"/>
        <v>0</v>
      </c>
      <c r="BL33" s="14">
        <v>0</v>
      </c>
      <c r="BM33" s="14">
        <v>0</v>
      </c>
      <c r="BN33" s="14">
        <v>0</v>
      </c>
      <c r="BO33" s="14">
        <v>0</v>
      </c>
      <c r="BP33" s="14">
        <v>0</v>
      </c>
      <c r="BQ33" s="14">
        <v>0</v>
      </c>
      <c r="BR33" s="14">
        <v>0</v>
      </c>
      <c r="BS33" s="14">
        <v>0</v>
      </c>
      <c r="BT33" s="14">
        <v>0</v>
      </c>
      <c r="BU33" s="14">
        <v>0</v>
      </c>
      <c r="BV33" s="14">
        <v>0</v>
      </c>
      <c r="BW33" s="57">
        <v>17</v>
      </c>
      <c r="BX33" s="12" t="s">
        <v>29</v>
      </c>
      <c r="BY33" s="24">
        <f t="shared" si="45"/>
        <v>0</v>
      </c>
      <c r="BZ33" s="14">
        <v>0</v>
      </c>
      <c r="CA33" s="14">
        <v>0</v>
      </c>
      <c r="CB33" s="14">
        <v>0</v>
      </c>
      <c r="CC33" s="14">
        <v>0</v>
      </c>
      <c r="CD33" s="14">
        <v>0</v>
      </c>
      <c r="CE33" s="14">
        <v>0</v>
      </c>
      <c r="CF33" s="14">
        <v>0</v>
      </c>
      <c r="CG33" s="14">
        <v>0</v>
      </c>
      <c r="CH33" s="14">
        <v>0</v>
      </c>
      <c r="CI33" s="14">
        <v>0</v>
      </c>
      <c r="CJ33" s="14">
        <v>0</v>
      </c>
      <c r="CK33" s="57">
        <v>17</v>
      </c>
      <c r="CL33" s="12" t="s">
        <v>29</v>
      </c>
      <c r="CM33" s="24">
        <f t="shared" si="55"/>
        <v>0</v>
      </c>
      <c r="CN33" s="14">
        <v>0</v>
      </c>
      <c r="CO33" s="14">
        <v>0</v>
      </c>
      <c r="CP33" s="14">
        <v>0</v>
      </c>
      <c r="CQ33" s="14">
        <v>0</v>
      </c>
      <c r="CR33" s="14">
        <v>0</v>
      </c>
      <c r="CS33" s="14">
        <v>0</v>
      </c>
      <c r="CT33" s="14">
        <v>0</v>
      </c>
      <c r="CU33" s="14">
        <v>0</v>
      </c>
      <c r="CV33" s="14">
        <v>0</v>
      </c>
      <c r="CW33" s="14">
        <v>0</v>
      </c>
      <c r="CX33" s="14">
        <v>0</v>
      </c>
      <c r="CY33" s="57">
        <v>17</v>
      </c>
      <c r="CZ33" s="12" t="s">
        <v>29</v>
      </c>
      <c r="DA33" s="24">
        <f t="shared" ref="DA33" si="65">SUM(DC33:DL33)</f>
        <v>0</v>
      </c>
      <c r="DB33" s="14">
        <v>0</v>
      </c>
      <c r="DC33" s="14">
        <v>0</v>
      </c>
      <c r="DD33" s="14">
        <v>0</v>
      </c>
      <c r="DE33" s="14">
        <v>0</v>
      </c>
      <c r="DF33" s="14">
        <v>0</v>
      </c>
      <c r="DG33" s="14">
        <v>0</v>
      </c>
      <c r="DH33" s="14">
        <v>0</v>
      </c>
      <c r="DI33" s="14">
        <v>0</v>
      </c>
      <c r="DJ33" s="14">
        <v>0</v>
      </c>
      <c r="DK33" s="14">
        <v>0</v>
      </c>
      <c r="DL33" s="14">
        <v>0</v>
      </c>
      <c r="DM33" s="57">
        <v>17</v>
      </c>
      <c r="DN33" s="12" t="s">
        <v>29</v>
      </c>
      <c r="DO33" s="24">
        <f t="shared" ref="DO33" si="66">SUM(DQ33:DZ33)</f>
        <v>0</v>
      </c>
      <c r="DP33" s="14">
        <v>0</v>
      </c>
      <c r="DQ33" s="14">
        <v>0</v>
      </c>
      <c r="DR33" s="14">
        <v>0</v>
      </c>
      <c r="DS33" s="14">
        <v>0</v>
      </c>
      <c r="DT33" s="14">
        <v>0</v>
      </c>
      <c r="DU33" s="14">
        <v>0</v>
      </c>
      <c r="DV33" s="14">
        <v>0</v>
      </c>
      <c r="DW33" s="14">
        <v>0</v>
      </c>
      <c r="DX33" s="14">
        <v>0</v>
      </c>
      <c r="DY33" s="14">
        <v>0</v>
      </c>
      <c r="DZ33" s="14">
        <v>0</v>
      </c>
      <c r="EA33" s="57">
        <v>17</v>
      </c>
      <c r="EB33" s="12" t="s">
        <v>29</v>
      </c>
      <c r="EC33" s="24">
        <f t="shared" ref="EC33" si="67">SUM(EE33:EN33)</f>
        <v>0</v>
      </c>
      <c r="ED33" s="14">
        <v>0</v>
      </c>
      <c r="EE33" s="14">
        <v>0</v>
      </c>
      <c r="EF33" s="14">
        <v>0</v>
      </c>
      <c r="EG33" s="14">
        <v>0</v>
      </c>
      <c r="EH33" s="14">
        <v>0</v>
      </c>
      <c r="EI33" s="14">
        <v>0</v>
      </c>
      <c r="EJ33" s="14">
        <v>0</v>
      </c>
      <c r="EK33" s="14">
        <v>0</v>
      </c>
      <c r="EL33" s="14">
        <v>0</v>
      </c>
      <c r="EM33" s="14">
        <v>0</v>
      </c>
      <c r="EN33" s="14">
        <v>0</v>
      </c>
      <c r="EO33" s="57">
        <v>17</v>
      </c>
      <c r="EP33" s="12" t="s">
        <v>29</v>
      </c>
      <c r="EQ33" s="24">
        <f t="shared" ref="EQ33" si="68">SUM(ES33:FB33)</f>
        <v>0</v>
      </c>
      <c r="ER33" s="14">
        <v>0</v>
      </c>
      <c r="ES33" s="14">
        <v>0</v>
      </c>
      <c r="ET33" s="14">
        <v>0</v>
      </c>
      <c r="EU33" s="14">
        <v>0</v>
      </c>
      <c r="EV33" s="14">
        <v>0</v>
      </c>
      <c r="EW33" s="14">
        <v>0</v>
      </c>
      <c r="EX33" s="14">
        <v>0</v>
      </c>
      <c r="EY33" s="14">
        <v>0</v>
      </c>
      <c r="EZ33" s="14">
        <v>0</v>
      </c>
      <c r="FA33" s="14">
        <v>0</v>
      </c>
      <c r="FB33" s="14">
        <v>0</v>
      </c>
    </row>
    <row r="34" spans="1:158" s="19" customFormat="1" ht="12" customHeight="1" x14ac:dyDescent="0.2">
      <c r="A34" s="57">
        <v>12</v>
      </c>
      <c r="B34" s="12" t="s">
        <v>30</v>
      </c>
      <c r="C34" s="24">
        <f t="shared" si="22"/>
        <v>88634.51999999999</v>
      </c>
      <c r="D34" s="14"/>
      <c r="E34" s="14">
        <f t="shared" si="23"/>
        <v>5763.5599999999995</v>
      </c>
      <c r="F34" s="14">
        <f t="shared" si="24"/>
        <v>3299.29</v>
      </c>
      <c r="G34" s="14">
        <f t="shared" si="25"/>
        <v>17336.489999999998</v>
      </c>
      <c r="H34" s="14">
        <f t="shared" si="64"/>
        <v>15000.1</v>
      </c>
      <c r="I34" s="14">
        <f t="shared" si="64"/>
        <v>25077.949999999997</v>
      </c>
      <c r="J34" s="14">
        <f t="shared" si="64"/>
        <v>5963.95</v>
      </c>
      <c r="K34" s="14">
        <f t="shared" si="64"/>
        <v>2160.85</v>
      </c>
      <c r="L34" s="14">
        <f t="shared" si="64"/>
        <v>4463.9400000000005</v>
      </c>
      <c r="M34" s="14">
        <f t="shared" si="64"/>
        <v>6269.03</v>
      </c>
      <c r="N34" s="14">
        <f t="shared" si="64"/>
        <v>3299.36</v>
      </c>
      <c r="O34" s="57">
        <v>18</v>
      </c>
      <c r="P34" s="12" t="s">
        <v>30</v>
      </c>
      <c r="Q34" s="24">
        <f>SUM(S34:T34)</f>
        <v>350.9</v>
      </c>
      <c r="R34" s="14">
        <v>0</v>
      </c>
      <c r="S34" s="14">
        <v>240.19</v>
      </c>
      <c r="T34" s="14">
        <v>110.71</v>
      </c>
      <c r="U34" s="57">
        <v>18</v>
      </c>
      <c r="V34" s="12" t="s">
        <v>30</v>
      </c>
      <c r="W34" s="24">
        <f>SUM(Y34:Z34)</f>
        <v>0</v>
      </c>
      <c r="X34" s="14">
        <v>0</v>
      </c>
      <c r="Y34" s="14">
        <v>0</v>
      </c>
      <c r="Z34" s="14">
        <v>0</v>
      </c>
      <c r="AA34" s="57">
        <v>18</v>
      </c>
      <c r="AB34" s="12" t="s">
        <v>30</v>
      </c>
      <c r="AC34" s="24">
        <f>SUM(AE34:AF34)</f>
        <v>0</v>
      </c>
      <c r="AD34" s="14">
        <v>0</v>
      </c>
      <c r="AE34" s="14">
        <v>0</v>
      </c>
      <c r="AF34" s="14">
        <v>0</v>
      </c>
      <c r="AG34" s="57">
        <v>18</v>
      </c>
      <c r="AH34" s="12" t="s">
        <v>30</v>
      </c>
      <c r="AI34" s="24">
        <f t="shared" si="38"/>
        <v>1447.06</v>
      </c>
      <c r="AJ34" s="14">
        <v>0</v>
      </c>
      <c r="AK34" s="14">
        <v>163.52000000000001</v>
      </c>
      <c r="AL34" s="14">
        <v>75.25</v>
      </c>
      <c r="AM34" s="14">
        <v>208.52</v>
      </c>
      <c r="AN34" s="14">
        <v>139.35</v>
      </c>
      <c r="AO34" s="14">
        <v>226.03</v>
      </c>
      <c r="AP34" s="14">
        <v>169.74</v>
      </c>
      <c r="AQ34" s="14">
        <v>61.5</v>
      </c>
      <c r="AR34" s="14">
        <v>127.05</v>
      </c>
      <c r="AS34" s="14">
        <v>178.42</v>
      </c>
      <c r="AT34" s="14">
        <v>97.68</v>
      </c>
      <c r="AU34" s="57">
        <v>18</v>
      </c>
      <c r="AV34" s="12" t="s">
        <v>30</v>
      </c>
      <c r="AW34" s="24">
        <f t="shared" si="41"/>
        <v>912</v>
      </c>
      <c r="AX34" s="14">
        <v>0</v>
      </c>
      <c r="AY34" s="14">
        <v>103.06</v>
      </c>
      <c r="AZ34" s="14">
        <v>47.42</v>
      </c>
      <c r="BA34" s="14">
        <v>131.41999999999999</v>
      </c>
      <c r="BB34" s="14">
        <v>87.83</v>
      </c>
      <c r="BC34" s="14">
        <v>142.44999999999999</v>
      </c>
      <c r="BD34" s="14">
        <v>106.98</v>
      </c>
      <c r="BE34" s="14">
        <v>38.76</v>
      </c>
      <c r="BF34" s="14">
        <v>80.069999999999993</v>
      </c>
      <c r="BG34" s="14">
        <v>112.45</v>
      </c>
      <c r="BH34" s="14">
        <v>61.56</v>
      </c>
      <c r="BI34" s="57">
        <v>18</v>
      </c>
      <c r="BJ34" s="12" t="s">
        <v>30</v>
      </c>
      <c r="BK34" s="24">
        <f t="shared" si="43"/>
        <v>483.99999999999994</v>
      </c>
      <c r="BL34" s="14">
        <v>0</v>
      </c>
      <c r="BM34" s="14">
        <v>54.69</v>
      </c>
      <c r="BN34" s="14">
        <v>25.17</v>
      </c>
      <c r="BO34" s="14">
        <v>69.739999999999995</v>
      </c>
      <c r="BP34" s="14">
        <v>46.61</v>
      </c>
      <c r="BQ34" s="14">
        <v>75.599999999999994</v>
      </c>
      <c r="BR34" s="14">
        <v>56.77</v>
      </c>
      <c r="BS34" s="14">
        <v>20.57</v>
      </c>
      <c r="BT34" s="14">
        <v>42.5</v>
      </c>
      <c r="BU34" s="14">
        <v>59.68</v>
      </c>
      <c r="BV34" s="14">
        <v>32.67</v>
      </c>
      <c r="BW34" s="57">
        <v>18</v>
      </c>
      <c r="BX34" s="12" t="s">
        <v>30</v>
      </c>
      <c r="BY34" s="24">
        <f t="shared" si="45"/>
        <v>1968.5</v>
      </c>
      <c r="BZ34" s="14">
        <v>0</v>
      </c>
      <c r="CA34" s="14">
        <v>222.44</v>
      </c>
      <c r="CB34" s="14">
        <v>102.36</v>
      </c>
      <c r="CC34" s="14">
        <v>283.66000000000003</v>
      </c>
      <c r="CD34" s="14">
        <v>189.57</v>
      </c>
      <c r="CE34" s="14">
        <v>307.48</v>
      </c>
      <c r="CF34" s="14">
        <v>230.91</v>
      </c>
      <c r="CG34" s="14">
        <v>83.66</v>
      </c>
      <c r="CH34" s="14">
        <v>172.83</v>
      </c>
      <c r="CI34" s="14">
        <v>242.72</v>
      </c>
      <c r="CJ34" s="14">
        <v>132.87</v>
      </c>
      <c r="CK34" s="57">
        <v>18</v>
      </c>
      <c r="CL34" s="12" t="s">
        <v>30</v>
      </c>
      <c r="CM34" s="24">
        <f>SUM(CO34:CX34)</f>
        <v>3634.6499999999996</v>
      </c>
      <c r="CN34" s="14">
        <v>0</v>
      </c>
      <c r="CO34" s="14">
        <f>255.31</f>
        <v>255.31</v>
      </c>
      <c r="CP34" s="14">
        <f>646.85+117.49</f>
        <v>764.34</v>
      </c>
      <c r="CQ34" s="14">
        <f>325.57</f>
        <v>325.57</v>
      </c>
      <c r="CR34" s="14">
        <f>217.58</f>
        <v>217.58</v>
      </c>
      <c r="CS34" s="14">
        <f>352.91</f>
        <v>352.91</v>
      </c>
      <c r="CT34" s="14">
        <f>230.41+265.02</f>
        <v>495.42999999999995</v>
      </c>
      <c r="CU34" s="14">
        <f>83.48+96.02</f>
        <v>179.5</v>
      </c>
      <c r="CV34" s="14">
        <f>172.35+198.37</f>
        <v>370.72</v>
      </c>
      <c r="CW34" s="14">
        <f>242.2+278.58</f>
        <v>520.78</v>
      </c>
      <c r="CX34" s="14">
        <f>152.51</f>
        <v>152.51</v>
      </c>
      <c r="CY34" s="57">
        <v>18</v>
      </c>
      <c r="CZ34" s="12" t="s">
        <v>30</v>
      </c>
      <c r="DA34" s="24">
        <f>SUM(DC34:DL34)</f>
        <v>40641.229999999996</v>
      </c>
      <c r="DB34" s="14">
        <v>0</v>
      </c>
      <c r="DC34" s="14">
        <v>295.18</v>
      </c>
      <c r="DD34" s="14">
        <v>135.84</v>
      </c>
      <c r="DE34" s="14">
        <f>376.42+10293</f>
        <v>10669.42</v>
      </c>
      <c r="DF34" s="14">
        <f>251.56+10293</f>
        <v>10544.56</v>
      </c>
      <c r="DG34" s="14">
        <f>408.03+10293+7150</f>
        <v>17851.03</v>
      </c>
      <c r="DH34" s="14">
        <v>306.41000000000003</v>
      </c>
      <c r="DI34" s="14">
        <v>111.02</v>
      </c>
      <c r="DJ34" s="14">
        <v>229.35</v>
      </c>
      <c r="DK34" s="14">
        <v>322.08999999999997</v>
      </c>
      <c r="DL34" s="14">
        <v>176.33</v>
      </c>
      <c r="DM34" s="57">
        <v>18</v>
      </c>
      <c r="DN34" s="12" t="s">
        <v>30</v>
      </c>
      <c r="DO34" s="24">
        <f>SUM(DQ34:DZ34)</f>
        <v>1613.3600000000001</v>
      </c>
      <c r="DP34" s="14">
        <v>0</v>
      </c>
      <c r="DQ34" s="14">
        <v>182.31</v>
      </c>
      <c r="DR34" s="14">
        <v>83.89</v>
      </c>
      <c r="DS34" s="14">
        <v>232.48</v>
      </c>
      <c r="DT34" s="14">
        <v>155.37</v>
      </c>
      <c r="DU34" s="14">
        <v>252.01</v>
      </c>
      <c r="DV34" s="14">
        <f>189.25</f>
        <v>189.25</v>
      </c>
      <c r="DW34" s="14">
        <v>68.569999999999993</v>
      </c>
      <c r="DX34" s="14">
        <v>141.65</v>
      </c>
      <c r="DY34" s="14">
        <v>198.93</v>
      </c>
      <c r="DZ34" s="14">
        <v>108.9</v>
      </c>
      <c r="EA34" s="57">
        <v>18</v>
      </c>
      <c r="EB34" s="12" t="s">
        <v>30</v>
      </c>
      <c r="EC34" s="24">
        <f>SUM(EE34:EN34)</f>
        <v>0</v>
      </c>
      <c r="ED34" s="14">
        <v>0</v>
      </c>
      <c r="EE34" s="14">
        <v>0</v>
      </c>
      <c r="EF34" s="14">
        <v>0</v>
      </c>
      <c r="EG34" s="14">
        <v>0</v>
      </c>
      <c r="EH34" s="14">
        <v>0</v>
      </c>
      <c r="EI34" s="14">
        <v>0</v>
      </c>
      <c r="EJ34" s="14">
        <v>0</v>
      </c>
      <c r="EK34" s="14">
        <v>0</v>
      </c>
      <c r="EL34" s="14">
        <v>0</v>
      </c>
      <c r="EM34" s="14">
        <v>0</v>
      </c>
      <c r="EN34" s="14">
        <v>0</v>
      </c>
      <c r="EO34" s="57">
        <v>18</v>
      </c>
      <c r="EP34" s="12" t="s">
        <v>30</v>
      </c>
      <c r="EQ34" s="24">
        <f>SUM(ES34:FB34)</f>
        <v>37582.820000000007</v>
      </c>
      <c r="ER34" s="14">
        <v>0</v>
      </c>
      <c r="ES34" s="14">
        <v>4246.8599999999997</v>
      </c>
      <c r="ET34" s="14">
        <v>1954.31</v>
      </c>
      <c r="EU34" s="14">
        <v>5415.68</v>
      </c>
      <c r="EV34" s="14">
        <v>3619.23</v>
      </c>
      <c r="EW34" s="14">
        <v>5870.44</v>
      </c>
      <c r="EX34" s="14">
        <v>4408.46</v>
      </c>
      <c r="EY34" s="14">
        <v>1597.27</v>
      </c>
      <c r="EZ34" s="14">
        <v>3299.77</v>
      </c>
      <c r="FA34" s="14">
        <v>4633.96</v>
      </c>
      <c r="FB34" s="14">
        <v>2536.84</v>
      </c>
    </row>
    <row r="35" spans="1:158" s="19" customFormat="1" ht="12" customHeight="1" x14ac:dyDescent="0.2">
      <c r="A35" s="57">
        <v>13</v>
      </c>
      <c r="B35" s="12" t="s">
        <v>31</v>
      </c>
      <c r="C35" s="24">
        <f t="shared" si="22"/>
        <v>201333.71000000002</v>
      </c>
      <c r="D35" s="14"/>
      <c r="E35" s="14">
        <f t="shared" si="23"/>
        <v>29698.18</v>
      </c>
      <c r="F35" s="14">
        <f t="shared" si="24"/>
        <v>35938.71</v>
      </c>
      <c r="G35" s="14">
        <f t="shared" si="25"/>
        <v>18357.120000000003</v>
      </c>
      <c r="H35" s="14">
        <f t="shared" si="64"/>
        <v>22093.489999999998</v>
      </c>
      <c r="I35" s="14">
        <f t="shared" si="64"/>
        <v>35418.199999999997</v>
      </c>
      <c r="J35" s="14">
        <f t="shared" si="64"/>
        <v>13921.339999999997</v>
      </c>
      <c r="K35" s="14">
        <f t="shared" si="64"/>
        <v>7337.4000000000005</v>
      </c>
      <c r="L35" s="14">
        <f t="shared" si="64"/>
        <v>11107.29</v>
      </c>
      <c r="M35" s="14">
        <f t="shared" si="64"/>
        <v>16830.53</v>
      </c>
      <c r="N35" s="14">
        <f t="shared" si="64"/>
        <v>10631.449999999999</v>
      </c>
      <c r="O35" s="57">
        <v>19</v>
      </c>
      <c r="P35" s="12" t="s">
        <v>31</v>
      </c>
      <c r="Q35" s="24">
        <f>SUM(R35:T35)</f>
        <v>15734.5</v>
      </c>
      <c r="R35" s="14">
        <v>0</v>
      </c>
      <c r="S35" s="14">
        <f>9203.57</f>
        <v>9203.57</v>
      </c>
      <c r="T35" s="14">
        <f>2288.81+4242.12</f>
        <v>6530.93</v>
      </c>
      <c r="U35" s="57">
        <v>19</v>
      </c>
      <c r="V35" s="12" t="s">
        <v>31</v>
      </c>
      <c r="W35" s="24">
        <f>SUM(X35:Z35)</f>
        <v>1477.6</v>
      </c>
      <c r="X35" s="14">
        <v>0</v>
      </c>
      <c r="Y35" s="14">
        <f>286</f>
        <v>286</v>
      </c>
      <c r="Z35" s="14">
        <f>1191.6</f>
        <v>1191.5999999999999</v>
      </c>
      <c r="AA35" s="57">
        <v>19</v>
      </c>
      <c r="AB35" s="12" t="s">
        <v>31</v>
      </c>
      <c r="AC35" s="24">
        <f>SUM(AD35:AF35)</f>
        <v>0</v>
      </c>
      <c r="AD35" s="14">
        <v>0</v>
      </c>
      <c r="AE35" s="14">
        <v>0</v>
      </c>
      <c r="AF35" s="14">
        <v>0</v>
      </c>
      <c r="AG35" s="57">
        <v>19</v>
      </c>
      <c r="AH35" s="12" t="s">
        <v>31</v>
      </c>
      <c r="AI35" s="24">
        <f t="shared" si="38"/>
        <v>38421.99</v>
      </c>
      <c r="AJ35" s="14">
        <v>0</v>
      </c>
      <c r="AK35" s="14">
        <f>1005.26+3763.93</f>
        <v>4769.1899999999996</v>
      </c>
      <c r="AL35" s="14">
        <f>232+1732.07</f>
        <v>1964.07</v>
      </c>
      <c r="AM35" s="14">
        <f>50.64+10+189.86+4799.84</f>
        <v>5050.34</v>
      </c>
      <c r="AN35" s="14">
        <f>33.86+106.5+126.94+3207.66</f>
        <v>3474.96</v>
      </c>
      <c r="AO35" s="14">
        <f>919.47+205.7+5202.88</f>
        <v>6328.05</v>
      </c>
      <c r="AP35" s="14">
        <f>222.29+10+154.44+3907.16</f>
        <v>4293.8899999999994</v>
      </c>
      <c r="AQ35" s="14">
        <f>80.56+10+55.99+1415.64</f>
        <v>1562.19</v>
      </c>
      <c r="AR35" s="14">
        <f>166.4+10+115.61+2924.54</f>
        <v>3216.55</v>
      </c>
      <c r="AS35" s="14">
        <f>233.75+570.87+162.47+4107.01</f>
        <v>5074.1000000000004</v>
      </c>
      <c r="AT35" s="14">
        <f>351.3+88.99+2248.36</f>
        <v>2688.65</v>
      </c>
      <c r="AU35" s="57">
        <v>19</v>
      </c>
      <c r="AV35" s="12" t="s">
        <v>31</v>
      </c>
      <c r="AW35" s="24">
        <f t="shared" si="41"/>
        <v>28240.530000000002</v>
      </c>
      <c r="AX35" s="14">
        <v>0</v>
      </c>
      <c r="AY35" s="14">
        <f>1268.16+2676.87</f>
        <v>3945.0299999999997</v>
      </c>
      <c r="AZ35" s="14">
        <f>523+1231.83</f>
        <v>1754.83</v>
      </c>
      <c r="BA35" s="14">
        <f>1161.44+3413.6</f>
        <v>4575.04</v>
      </c>
      <c r="BB35" s="14">
        <f>2281.26</f>
        <v>2281.2600000000002</v>
      </c>
      <c r="BC35" s="14">
        <f>3700.24</f>
        <v>3700.24</v>
      </c>
      <c r="BD35" s="14">
        <f>2778.73</f>
        <v>2778.73</v>
      </c>
      <c r="BE35" s="14">
        <f>207.66+1006.79</f>
        <v>1214.45</v>
      </c>
      <c r="BF35" s="14">
        <f>428.18+2079.9</f>
        <v>2508.08</v>
      </c>
      <c r="BG35" s="14">
        <f>601.99+2920.87</f>
        <v>3522.8599999999997</v>
      </c>
      <c r="BH35" s="14">
        <f>361+1599.01</f>
        <v>1960.01</v>
      </c>
      <c r="BI35" s="57">
        <v>19</v>
      </c>
      <c r="BJ35" s="12" t="s">
        <v>31</v>
      </c>
      <c r="BK35" s="24">
        <f t="shared" si="43"/>
        <v>11317.43</v>
      </c>
      <c r="BL35" s="14">
        <v>0</v>
      </c>
      <c r="BM35" s="14">
        <f>150+531.4</f>
        <v>681.4</v>
      </c>
      <c r="BN35" s="14">
        <f>1383.3+244.54</f>
        <v>1627.84</v>
      </c>
      <c r="BO35" s="14">
        <f>179.3+677.65</f>
        <v>856.95</v>
      </c>
      <c r="BP35" s="14">
        <f>119.85+105+452.86</f>
        <v>677.71</v>
      </c>
      <c r="BQ35" s="14">
        <f>194.25+4483.1+734.55</f>
        <v>5411.9000000000005</v>
      </c>
      <c r="BR35" s="14">
        <f>551.62</f>
        <v>551.62</v>
      </c>
      <c r="BS35" s="14">
        <f>199.86</f>
        <v>199.86</v>
      </c>
      <c r="BT35" s="14">
        <f>412.89</f>
        <v>412.89</v>
      </c>
      <c r="BU35" s="14">
        <v>579.83000000000004</v>
      </c>
      <c r="BV35" s="14">
        <v>317.43</v>
      </c>
      <c r="BW35" s="57">
        <v>19</v>
      </c>
      <c r="BX35" s="12" t="s">
        <v>31</v>
      </c>
      <c r="BY35" s="24">
        <f t="shared" si="45"/>
        <v>7631.0100000000011</v>
      </c>
      <c r="BZ35" s="14">
        <v>0</v>
      </c>
      <c r="CA35" s="14">
        <f>265.76+270</f>
        <v>535.76</v>
      </c>
      <c r="CB35" s="14">
        <f>122.3</f>
        <v>122.3</v>
      </c>
      <c r="CC35" s="14">
        <f>338.91</f>
        <v>338.91</v>
      </c>
      <c r="CD35" s="14">
        <f>226.49</f>
        <v>226.49</v>
      </c>
      <c r="CE35" s="14">
        <f>367.37+240.3</f>
        <v>607.67000000000007</v>
      </c>
      <c r="CF35" s="14">
        <f>275.88+563.71</f>
        <v>839.59</v>
      </c>
      <c r="CG35" s="14">
        <f>99.96+204.29+2108.5</f>
        <v>2412.75</v>
      </c>
      <c r="CH35" s="14">
        <f>206.5+553.31</f>
        <v>759.81</v>
      </c>
      <c r="CI35" s="14">
        <f>289.99+777.39</f>
        <v>1067.3800000000001</v>
      </c>
      <c r="CJ35" s="14">
        <f>158.75+561.6</f>
        <v>720.35</v>
      </c>
      <c r="CK35" s="57">
        <v>19</v>
      </c>
      <c r="CL35" s="12" t="s">
        <v>31</v>
      </c>
      <c r="CM35" s="24">
        <f>SUM(CO35:CX35)</f>
        <v>18171.800000000003</v>
      </c>
      <c r="CN35" s="14">
        <v>0</v>
      </c>
      <c r="CO35" s="14">
        <f>2909+726.95</f>
        <v>3635.95</v>
      </c>
      <c r="CP35" s="14">
        <f>3950.82+334.52</f>
        <v>4285.34</v>
      </c>
      <c r="CQ35" s="14">
        <f>518+927.02</f>
        <v>1445.02</v>
      </c>
      <c r="CR35" s="14">
        <f>555.3+619.51</f>
        <v>1174.81</v>
      </c>
      <c r="CS35" s="14">
        <f>487.5+1004.86</f>
        <v>1492.3600000000001</v>
      </c>
      <c r="CT35" s="14">
        <f>918.16+754.61</f>
        <v>1672.77</v>
      </c>
      <c r="CU35" s="14">
        <f>332.71+273.41</f>
        <v>606.12</v>
      </c>
      <c r="CV35" s="14">
        <f>384.89+564.83</f>
        <v>949.72</v>
      </c>
      <c r="CW35" s="14">
        <f>1682.26+793.21</f>
        <v>2475.4700000000003</v>
      </c>
      <c r="CX35" s="14">
        <f>434.24</f>
        <v>434.24</v>
      </c>
      <c r="CY35" s="57">
        <v>19</v>
      </c>
      <c r="CZ35" s="12" t="s">
        <v>31</v>
      </c>
      <c r="DA35" s="24">
        <f>SUM(DC35:DL35)</f>
        <v>19643.47</v>
      </c>
      <c r="DB35" s="14">
        <v>0</v>
      </c>
      <c r="DC35" s="14">
        <f>932.25+280.13</f>
        <v>1212.3800000000001</v>
      </c>
      <c r="DD35" s="14">
        <f>6891.74+128.91</f>
        <v>7020.65</v>
      </c>
      <c r="DE35" s="14">
        <f>515.6+357.22</f>
        <v>872.82</v>
      </c>
      <c r="DF35" s="14">
        <f>2293.3+238.73</f>
        <v>2532.0300000000002</v>
      </c>
      <c r="DG35" s="14">
        <f>2288.4+387.22</f>
        <v>2675.62</v>
      </c>
      <c r="DH35" s="14">
        <f>357.86+290.79</f>
        <v>648.65000000000009</v>
      </c>
      <c r="DI35" s="14">
        <f>120.99+105.36</f>
        <v>226.35</v>
      </c>
      <c r="DJ35" s="14">
        <f>243.3+217.66</f>
        <v>460.96000000000004</v>
      </c>
      <c r="DK35" s="14">
        <f>360.85+305.66</f>
        <v>666.51</v>
      </c>
      <c r="DL35" s="14">
        <f>3160.17+167.33</f>
        <v>3327.5</v>
      </c>
      <c r="DM35" s="57">
        <v>19</v>
      </c>
      <c r="DN35" s="12" t="s">
        <v>31</v>
      </c>
      <c r="DO35" s="24">
        <f>SUM(DQ35:DZ35)</f>
        <v>17141.139999999996</v>
      </c>
      <c r="DP35" s="14">
        <v>0</v>
      </c>
      <c r="DQ35" s="14">
        <f>1766.8+403.81</f>
        <v>2170.61</v>
      </c>
      <c r="DR35" s="14">
        <f>1802.35+185.82</f>
        <v>1988.1699999999998</v>
      </c>
      <c r="DS35" s="14">
        <f>197+514.94</f>
        <v>711.94</v>
      </c>
      <c r="DT35" s="14">
        <f>3719+344.13</f>
        <v>4063.13</v>
      </c>
      <c r="DU35" s="14">
        <f>4152.8+558.18</f>
        <v>4710.9800000000005</v>
      </c>
      <c r="DV35" s="14">
        <f>51.47+324+419.17</f>
        <v>794.6400000000001</v>
      </c>
      <c r="DW35" s="14">
        <f>18.64+270+151.87</f>
        <v>440.51</v>
      </c>
      <c r="DX35" s="14">
        <f>38.49+572+313.75</f>
        <v>924.24</v>
      </c>
      <c r="DY35" s="14">
        <f>54.1+572+440.61</f>
        <v>1066.71</v>
      </c>
      <c r="DZ35" s="14">
        <f>29+241.21</f>
        <v>270.21000000000004</v>
      </c>
      <c r="EA35" s="57">
        <v>19</v>
      </c>
      <c r="EB35" s="12" t="s">
        <v>31</v>
      </c>
      <c r="EC35" s="24">
        <f>SUM(EE35:EN35)</f>
        <v>24745.81</v>
      </c>
      <c r="ED35" s="14">
        <v>0</v>
      </c>
      <c r="EE35" s="14">
        <f>810+1057.02</f>
        <v>1867.02</v>
      </c>
      <c r="EF35" s="14">
        <f>5030.51+486.42</f>
        <v>5516.93</v>
      </c>
      <c r="EG35" s="14">
        <f>1094.5+1347.93</f>
        <v>2442.4300000000003</v>
      </c>
      <c r="EH35" s="14">
        <f>2151.55+900.8</f>
        <v>3052.3500000000004</v>
      </c>
      <c r="EI35" s="14">
        <f>5949.1+1461.12</f>
        <v>7410.22</v>
      </c>
      <c r="EJ35" s="14">
        <f>178+1097.24</f>
        <v>1275.24</v>
      </c>
      <c r="EK35" s="14">
        <f>397.55</f>
        <v>397.55</v>
      </c>
      <c r="EL35" s="14">
        <f>821.29</f>
        <v>821.29</v>
      </c>
      <c r="EM35" s="14">
        <f>178+1153.37</f>
        <v>1331.37</v>
      </c>
      <c r="EN35" s="14">
        <f>631.41</f>
        <v>631.41</v>
      </c>
      <c r="EO35" s="57">
        <v>19</v>
      </c>
      <c r="EP35" s="12" t="s">
        <v>31</v>
      </c>
      <c r="EQ35" s="24">
        <f>SUM(ES35:FB35)</f>
        <v>18808.43</v>
      </c>
      <c r="ER35" s="14">
        <v>0</v>
      </c>
      <c r="ES35" s="14">
        <f>749.18+170.59+471.5</f>
        <v>1391.27</v>
      </c>
      <c r="ET35" s="14">
        <f>3640.51+78.56+216.98</f>
        <v>3936.05</v>
      </c>
      <c r="EU35" s="14">
        <f>1462.4+601.27</f>
        <v>2063.67</v>
      </c>
      <c r="EV35" s="14">
        <f>4208.93+401.82</f>
        <v>4610.75</v>
      </c>
      <c r="EW35" s="14">
        <f>2429.4+651.76</f>
        <v>3081.16</v>
      </c>
      <c r="EX35" s="14">
        <f>300+276.76+489.45</f>
        <v>1066.21</v>
      </c>
      <c r="EY35" s="14">
        <f>100.28+177.34</f>
        <v>277.62</v>
      </c>
      <c r="EZ35" s="14">
        <f>374.1+207.03+106.27+366.35</f>
        <v>1053.75</v>
      </c>
      <c r="FA35" s="14">
        <f>91.5+290.94+149.38+514.48</f>
        <v>1046.3</v>
      </c>
      <c r="FB35" s="14">
        <f>281.65</f>
        <v>281.64999999999998</v>
      </c>
    </row>
    <row r="36" spans="1:158" s="19" customFormat="1" ht="12" customHeight="1" x14ac:dyDescent="0.2">
      <c r="A36" s="57">
        <v>14</v>
      </c>
      <c r="B36" s="12" t="s">
        <v>32</v>
      </c>
      <c r="C36" s="24">
        <f t="shared" si="22"/>
        <v>2060</v>
      </c>
      <c r="D36" s="14"/>
      <c r="E36" s="14">
        <f t="shared" si="23"/>
        <v>1030</v>
      </c>
      <c r="F36" s="14">
        <f t="shared" si="24"/>
        <v>1030</v>
      </c>
      <c r="G36" s="14">
        <f t="shared" si="25"/>
        <v>0</v>
      </c>
      <c r="H36" s="14">
        <f t="shared" si="64"/>
        <v>0</v>
      </c>
      <c r="I36" s="14">
        <f t="shared" si="64"/>
        <v>0</v>
      </c>
      <c r="J36" s="14">
        <f t="shared" si="64"/>
        <v>0</v>
      </c>
      <c r="K36" s="14">
        <f t="shared" si="64"/>
        <v>0</v>
      </c>
      <c r="L36" s="14">
        <f t="shared" si="64"/>
        <v>0</v>
      </c>
      <c r="M36" s="14">
        <f t="shared" si="64"/>
        <v>0</v>
      </c>
      <c r="N36" s="14">
        <f t="shared" si="64"/>
        <v>0</v>
      </c>
      <c r="O36" s="57">
        <v>20</v>
      </c>
      <c r="P36" s="12" t="s">
        <v>32</v>
      </c>
      <c r="Q36" s="46">
        <f>S36+T36</f>
        <v>2060</v>
      </c>
      <c r="R36" s="14">
        <v>0</v>
      </c>
      <c r="S36" s="14">
        <v>1030</v>
      </c>
      <c r="T36" s="14">
        <v>1030</v>
      </c>
      <c r="U36" s="57">
        <v>20</v>
      </c>
      <c r="V36" s="12" t="s">
        <v>32</v>
      </c>
      <c r="W36" s="46">
        <f>Y36+Z36</f>
        <v>0</v>
      </c>
      <c r="X36" s="14">
        <v>0</v>
      </c>
      <c r="Y36" s="14">
        <v>0</v>
      </c>
      <c r="Z36" s="14">
        <v>0</v>
      </c>
      <c r="AA36" s="57">
        <v>20</v>
      </c>
      <c r="AB36" s="12" t="s">
        <v>32</v>
      </c>
      <c r="AC36" s="46">
        <f>AE36+AF36</f>
        <v>0</v>
      </c>
      <c r="AD36" s="14">
        <v>0</v>
      </c>
      <c r="AE36" s="14">
        <v>0</v>
      </c>
      <c r="AF36" s="14">
        <v>0</v>
      </c>
      <c r="AG36" s="57">
        <v>20</v>
      </c>
      <c r="AH36" s="12" t="s">
        <v>32</v>
      </c>
      <c r="AI36" s="46">
        <f t="shared" si="38"/>
        <v>0</v>
      </c>
      <c r="AJ36" s="14">
        <v>0</v>
      </c>
      <c r="AK36" s="14">
        <v>0</v>
      </c>
      <c r="AL36" s="14">
        <v>0</v>
      </c>
      <c r="AM36" s="14">
        <v>0</v>
      </c>
      <c r="AN36" s="14">
        <v>0</v>
      </c>
      <c r="AO36" s="14">
        <v>0</v>
      </c>
      <c r="AP36" s="14">
        <v>0</v>
      </c>
      <c r="AQ36" s="14">
        <v>0</v>
      </c>
      <c r="AR36" s="14">
        <v>0</v>
      </c>
      <c r="AS36" s="14">
        <v>0</v>
      </c>
      <c r="AT36" s="14">
        <v>0</v>
      </c>
      <c r="AU36" s="57">
        <v>20</v>
      </c>
      <c r="AV36" s="12" t="s">
        <v>32</v>
      </c>
      <c r="AW36" s="46">
        <f t="shared" si="41"/>
        <v>0</v>
      </c>
      <c r="AX36" s="14">
        <v>0</v>
      </c>
      <c r="AY36" s="14">
        <v>0</v>
      </c>
      <c r="AZ36" s="14">
        <v>0</v>
      </c>
      <c r="BA36" s="14">
        <v>0</v>
      </c>
      <c r="BB36" s="14">
        <v>0</v>
      </c>
      <c r="BC36" s="14">
        <v>0</v>
      </c>
      <c r="BD36" s="14">
        <v>0</v>
      </c>
      <c r="BE36" s="14">
        <v>0</v>
      </c>
      <c r="BF36" s="14">
        <v>0</v>
      </c>
      <c r="BG36" s="14">
        <v>0</v>
      </c>
      <c r="BH36" s="14">
        <v>0</v>
      </c>
      <c r="BI36" s="57">
        <v>20</v>
      </c>
      <c r="BJ36" s="12" t="s">
        <v>32</v>
      </c>
      <c r="BK36" s="46">
        <f t="shared" si="43"/>
        <v>0</v>
      </c>
      <c r="BL36" s="14">
        <v>0</v>
      </c>
      <c r="BM36" s="14">
        <v>0</v>
      </c>
      <c r="BN36" s="14">
        <v>0</v>
      </c>
      <c r="BO36" s="14">
        <v>0</v>
      </c>
      <c r="BP36" s="14">
        <v>0</v>
      </c>
      <c r="BQ36" s="14">
        <v>0</v>
      </c>
      <c r="BR36" s="14">
        <v>0</v>
      </c>
      <c r="BS36" s="14">
        <v>0</v>
      </c>
      <c r="BT36" s="14">
        <v>0</v>
      </c>
      <c r="BU36" s="14">
        <v>0</v>
      </c>
      <c r="BV36" s="14">
        <v>0</v>
      </c>
      <c r="BW36" s="57">
        <v>20</v>
      </c>
      <c r="BX36" s="12" t="s">
        <v>32</v>
      </c>
      <c r="BY36" s="46">
        <f t="shared" si="45"/>
        <v>0</v>
      </c>
      <c r="BZ36" s="14">
        <v>0</v>
      </c>
      <c r="CA36" s="14">
        <v>0</v>
      </c>
      <c r="CB36" s="14">
        <v>0</v>
      </c>
      <c r="CC36" s="14">
        <v>0</v>
      </c>
      <c r="CD36" s="14">
        <v>0</v>
      </c>
      <c r="CE36" s="14">
        <v>0</v>
      </c>
      <c r="CF36" s="14">
        <v>0</v>
      </c>
      <c r="CG36" s="14">
        <v>0</v>
      </c>
      <c r="CH36" s="14">
        <v>0</v>
      </c>
      <c r="CI36" s="14">
        <v>0</v>
      </c>
      <c r="CJ36" s="14">
        <v>0</v>
      </c>
      <c r="CK36" s="57">
        <v>20</v>
      </c>
      <c r="CL36" s="12" t="s">
        <v>32</v>
      </c>
      <c r="CM36" s="46">
        <f t="shared" si="55"/>
        <v>0</v>
      </c>
      <c r="CN36" s="14">
        <v>0</v>
      </c>
      <c r="CO36" s="14">
        <v>0</v>
      </c>
      <c r="CP36" s="14">
        <v>0</v>
      </c>
      <c r="CQ36" s="14">
        <v>0</v>
      </c>
      <c r="CR36" s="14">
        <v>0</v>
      </c>
      <c r="CS36" s="14">
        <v>0</v>
      </c>
      <c r="CT36" s="14">
        <v>0</v>
      </c>
      <c r="CU36" s="14">
        <v>0</v>
      </c>
      <c r="CV36" s="14">
        <v>0</v>
      </c>
      <c r="CW36" s="14">
        <v>0</v>
      </c>
      <c r="CX36" s="14">
        <v>0</v>
      </c>
      <c r="CY36" s="57">
        <v>20</v>
      </c>
      <c r="CZ36" s="12" t="s">
        <v>32</v>
      </c>
      <c r="DA36" s="46">
        <f t="shared" ref="DA36:DA40" si="69">SUM(DC36:DL36)</f>
        <v>0</v>
      </c>
      <c r="DB36" s="14">
        <v>0</v>
      </c>
      <c r="DC36" s="14">
        <v>0</v>
      </c>
      <c r="DD36" s="14">
        <v>0</v>
      </c>
      <c r="DE36" s="14">
        <v>0</v>
      </c>
      <c r="DF36" s="14">
        <v>0</v>
      </c>
      <c r="DG36" s="14">
        <v>0</v>
      </c>
      <c r="DH36" s="14">
        <v>0</v>
      </c>
      <c r="DI36" s="14">
        <v>0</v>
      </c>
      <c r="DJ36" s="14">
        <v>0</v>
      </c>
      <c r="DK36" s="14">
        <v>0</v>
      </c>
      <c r="DL36" s="14">
        <v>0</v>
      </c>
      <c r="DM36" s="57">
        <v>20</v>
      </c>
      <c r="DN36" s="12" t="s">
        <v>32</v>
      </c>
      <c r="DO36" s="46">
        <f t="shared" ref="DO36:DO40" si="70">SUM(DQ36:DZ36)</f>
        <v>0</v>
      </c>
      <c r="DP36" s="14">
        <v>0</v>
      </c>
      <c r="DQ36" s="14">
        <v>0</v>
      </c>
      <c r="DR36" s="14">
        <v>0</v>
      </c>
      <c r="DS36" s="14">
        <v>0</v>
      </c>
      <c r="DT36" s="14">
        <v>0</v>
      </c>
      <c r="DU36" s="14">
        <v>0</v>
      </c>
      <c r="DV36" s="14">
        <v>0</v>
      </c>
      <c r="DW36" s="14">
        <v>0</v>
      </c>
      <c r="DX36" s="14">
        <v>0</v>
      </c>
      <c r="DY36" s="14">
        <v>0</v>
      </c>
      <c r="DZ36" s="14">
        <v>0</v>
      </c>
      <c r="EA36" s="57">
        <v>20</v>
      </c>
      <c r="EB36" s="12" t="s">
        <v>32</v>
      </c>
      <c r="EC36" s="46">
        <f t="shared" ref="EC36:EC40" si="71">SUM(EE36:EN36)</f>
        <v>0</v>
      </c>
      <c r="ED36" s="14">
        <v>0</v>
      </c>
      <c r="EE36" s="14">
        <v>0</v>
      </c>
      <c r="EF36" s="14">
        <v>0</v>
      </c>
      <c r="EG36" s="14">
        <v>0</v>
      </c>
      <c r="EH36" s="14">
        <v>0</v>
      </c>
      <c r="EI36" s="14">
        <v>0</v>
      </c>
      <c r="EJ36" s="14">
        <v>0</v>
      </c>
      <c r="EK36" s="14">
        <v>0</v>
      </c>
      <c r="EL36" s="14">
        <v>0</v>
      </c>
      <c r="EM36" s="14">
        <v>0</v>
      </c>
      <c r="EN36" s="14">
        <v>0</v>
      </c>
      <c r="EO36" s="57">
        <v>20</v>
      </c>
      <c r="EP36" s="12" t="s">
        <v>32</v>
      </c>
      <c r="EQ36" s="46">
        <f t="shared" ref="EQ36:EQ40" si="72">SUM(ES36:FB36)</f>
        <v>0</v>
      </c>
      <c r="ER36" s="14">
        <v>0</v>
      </c>
      <c r="ES36" s="14">
        <v>0</v>
      </c>
      <c r="ET36" s="14">
        <v>0</v>
      </c>
      <c r="EU36" s="14">
        <v>0</v>
      </c>
      <c r="EV36" s="14">
        <v>0</v>
      </c>
      <c r="EW36" s="14">
        <v>0</v>
      </c>
      <c r="EX36" s="14">
        <v>0</v>
      </c>
      <c r="EY36" s="14">
        <v>0</v>
      </c>
      <c r="EZ36" s="14">
        <v>0</v>
      </c>
      <c r="FA36" s="14">
        <v>0</v>
      </c>
      <c r="FB36" s="14">
        <v>0</v>
      </c>
    </row>
    <row r="37" spans="1:158" s="19" customFormat="1" ht="24" customHeight="1" x14ac:dyDescent="0.2">
      <c r="A37" s="17">
        <v>15</v>
      </c>
      <c r="B37" s="12" t="s">
        <v>51</v>
      </c>
      <c r="C37" s="24">
        <f t="shared" si="22"/>
        <v>17845.02</v>
      </c>
      <c r="D37" s="14"/>
      <c r="E37" s="14">
        <f t="shared" si="23"/>
        <v>1976.46</v>
      </c>
      <c r="F37" s="14">
        <f t="shared" si="24"/>
        <v>988.51</v>
      </c>
      <c r="G37" s="14">
        <f t="shared" si="25"/>
        <v>2443.46</v>
      </c>
      <c r="H37" s="14">
        <f t="shared" si="64"/>
        <v>1441.25</v>
      </c>
      <c r="I37" s="14">
        <f t="shared" si="64"/>
        <v>2278.64</v>
      </c>
      <c r="J37" s="14">
        <f t="shared" si="64"/>
        <v>2306.11</v>
      </c>
      <c r="K37" s="14">
        <f t="shared" si="64"/>
        <v>905.93</v>
      </c>
      <c r="L37" s="14">
        <f t="shared" si="64"/>
        <v>1564.87</v>
      </c>
      <c r="M37" s="14">
        <f t="shared" si="64"/>
        <v>2388.5100000000002</v>
      </c>
      <c r="N37" s="14">
        <f t="shared" si="64"/>
        <v>1551.28</v>
      </c>
      <c r="O37" s="17">
        <v>21</v>
      </c>
      <c r="P37" s="12" t="s">
        <v>51</v>
      </c>
      <c r="Q37" s="46">
        <f>S37+T37</f>
        <v>0</v>
      </c>
      <c r="R37" s="14">
        <v>0</v>
      </c>
      <c r="S37" s="14">
        <v>0</v>
      </c>
      <c r="T37" s="14">
        <v>0</v>
      </c>
      <c r="U37" s="17">
        <v>21</v>
      </c>
      <c r="V37" s="12" t="s">
        <v>51</v>
      </c>
      <c r="W37" s="46">
        <f>Y37+Z37</f>
        <v>0</v>
      </c>
      <c r="X37" s="14">
        <v>0</v>
      </c>
      <c r="Y37" s="14">
        <v>0</v>
      </c>
      <c r="Z37" s="14">
        <v>0</v>
      </c>
      <c r="AA37" s="17">
        <v>21</v>
      </c>
      <c r="AB37" s="12" t="s">
        <v>51</v>
      </c>
      <c r="AC37" s="46">
        <f>AE37+AF37</f>
        <v>0</v>
      </c>
      <c r="AD37" s="14">
        <v>0</v>
      </c>
      <c r="AE37" s="14">
        <v>0</v>
      </c>
      <c r="AF37" s="14">
        <v>0</v>
      </c>
      <c r="AG37" s="17">
        <v>21</v>
      </c>
      <c r="AH37" s="12" t="s">
        <v>51</v>
      </c>
      <c r="AI37" s="46">
        <f t="shared" si="38"/>
        <v>0</v>
      </c>
      <c r="AJ37" s="14">
        <v>0</v>
      </c>
      <c r="AK37" s="14">
        <v>0</v>
      </c>
      <c r="AL37" s="14">
        <v>0</v>
      </c>
      <c r="AM37" s="14">
        <v>0</v>
      </c>
      <c r="AN37" s="14">
        <v>0</v>
      </c>
      <c r="AO37" s="14">
        <v>0</v>
      </c>
      <c r="AP37" s="14">
        <v>0</v>
      </c>
      <c r="AQ37" s="14">
        <v>0</v>
      </c>
      <c r="AR37" s="14">
        <v>0</v>
      </c>
      <c r="AS37" s="14">
        <v>0</v>
      </c>
      <c r="AT37" s="14">
        <v>0</v>
      </c>
      <c r="AU37" s="17">
        <v>21</v>
      </c>
      <c r="AV37" s="12" t="s">
        <v>51</v>
      </c>
      <c r="AW37" s="46">
        <f t="shared" si="41"/>
        <v>0</v>
      </c>
      <c r="AX37" s="14">
        <v>0</v>
      </c>
      <c r="AY37" s="14">
        <v>0</v>
      </c>
      <c r="AZ37" s="14">
        <v>0</v>
      </c>
      <c r="BA37" s="14">
        <v>0</v>
      </c>
      <c r="BB37" s="14">
        <v>0</v>
      </c>
      <c r="BC37" s="14">
        <v>0</v>
      </c>
      <c r="BD37" s="14">
        <v>0</v>
      </c>
      <c r="BE37" s="14">
        <v>0</v>
      </c>
      <c r="BF37" s="14">
        <v>0</v>
      </c>
      <c r="BG37" s="14">
        <v>0</v>
      </c>
      <c r="BH37" s="14">
        <v>0</v>
      </c>
      <c r="BI37" s="17">
        <v>21</v>
      </c>
      <c r="BJ37" s="12" t="s">
        <v>51</v>
      </c>
      <c r="BK37" s="46">
        <f t="shared" si="43"/>
        <v>0</v>
      </c>
      <c r="BL37" s="14">
        <v>0</v>
      </c>
      <c r="BM37" s="14">
        <v>0</v>
      </c>
      <c r="BN37" s="14">
        <v>0</v>
      </c>
      <c r="BO37" s="14">
        <v>0</v>
      </c>
      <c r="BP37" s="14">
        <v>0</v>
      </c>
      <c r="BQ37" s="14">
        <v>0</v>
      </c>
      <c r="BR37" s="14">
        <v>0</v>
      </c>
      <c r="BS37" s="14">
        <v>0</v>
      </c>
      <c r="BT37" s="14">
        <v>0</v>
      </c>
      <c r="BU37" s="14">
        <v>0</v>
      </c>
      <c r="BV37" s="14">
        <v>0</v>
      </c>
      <c r="BW37" s="17">
        <v>21</v>
      </c>
      <c r="BX37" s="12" t="s">
        <v>51</v>
      </c>
      <c r="BY37" s="46">
        <f t="shared" si="45"/>
        <v>0</v>
      </c>
      <c r="BZ37" s="14">
        <v>0</v>
      </c>
      <c r="CA37" s="14">
        <v>0</v>
      </c>
      <c r="CB37" s="14">
        <v>0</v>
      </c>
      <c r="CC37" s="14">
        <v>0</v>
      </c>
      <c r="CD37" s="14">
        <v>0</v>
      </c>
      <c r="CE37" s="14">
        <v>0</v>
      </c>
      <c r="CF37" s="14">
        <v>0</v>
      </c>
      <c r="CG37" s="14">
        <v>0</v>
      </c>
      <c r="CH37" s="14">
        <v>0</v>
      </c>
      <c r="CI37" s="14">
        <v>0</v>
      </c>
      <c r="CJ37" s="14">
        <v>0</v>
      </c>
      <c r="CK37" s="17">
        <v>21</v>
      </c>
      <c r="CL37" s="12" t="s">
        <v>51</v>
      </c>
      <c r="CM37" s="46">
        <f t="shared" si="55"/>
        <v>17845.02</v>
      </c>
      <c r="CN37" s="14">
        <v>0</v>
      </c>
      <c r="CO37" s="14">
        <v>1976.46</v>
      </c>
      <c r="CP37" s="14">
        <v>988.51</v>
      </c>
      <c r="CQ37" s="14">
        <v>2443.46</v>
      </c>
      <c r="CR37" s="14">
        <v>1441.25</v>
      </c>
      <c r="CS37" s="14">
        <v>2278.64</v>
      </c>
      <c r="CT37" s="14">
        <v>2306.11</v>
      </c>
      <c r="CU37" s="14">
        <v>905.93</v>
      </c>
      <c r="CV37" s="14">
        <v>1564.87</v>
      </c>
      <c r="CW37" s="14">
        <v>2388.5100000000002</v>
      </c>
      <c r="CX37" s="14">
        <v>1551.28</v>
      </c>
      <c r="CY37" s="17">
        <v>21</v>
      </c>
      <c r="CZ37" s="12" t="s">
        <v>51</v>
      </c>
      <c r="DA37" s="46">
        <f t="shared" si="69"/>
        <v>0</v>
      </c>
      <c r="DB37" s="14">
        <v>0</v>
      </c>
      <c r="DC37" s="14">
        <v>0</v>
      </c>
      <c r="DD37" s="14">
        <v>0</v>
      </c>
      <c r="DE37" s="14">
        <v>0</v>
      </c>
      <c r="DF37" s="14">
        <v>0</v>
      </c>
      <c r="DG37" s="14">
        <v>0</v>
      </c>
      <c r="DH37" s="14">
        <v>0</v>
      </c>
      <c r="DI37" s="14">
        <v>0</v>
      </c>
      <c r="DJ37" s="14">
        <v>0</v>
      </c>
      <c r="DK37" s="14">
        <v>0</v>
      </c>
      <c r="DL37" s="14">
        <v>0</v>
      </c>
      <c r="DM37" s="17">
        <v>21</v>
      </c>
      <c r="DN37" s="12" t="s">
        <v>51</v>
      </c>
      <c r="DO37" s="46">
        <f t="shared" si="70"/>
        <v>0</v>
      </c>
      <c r="DP37" s="14">
        <v>0</v>
      </c>
      <c r="DQ37" s="14">
        <v>0</v>
      </c>
      <c r="DR37" s="14">
        <v>0</v>
      </c>
      <c r="DS37" s="14">
        <v>0</v>
      </c>
      <c r="DT37" s="14">
        <v>0</v>
      </c>
      <c r="DU37" s="14">
        <v>0</v>
      </c>
      <c r="DV37" s="14">
        <v>0</v>
      </c>
      <c r="DW37" s="14">
        <v>0</v>
      </c>
      <c r="DX37" s="14">
        <v>0</v>
      </c>
      <c r="DY37" s="14">
        <v>0</v>
      </c>
      <c r="DZ37" s="14">
        <v>0</v>
      </c>
      <c r="EA37" s="17">
        <v>21</v>
      </c>
      <c r="EB37" s="12" t="s">
        <v>51</v>
      </c>
      <c r="EC37" s="46">
        <f t="shared" si="71"/>
        <v>0</v>
      </c>
      <c r="ED37" s="14">
        <v>0</v>
      </c>
      <c r="EE37" s="14">
        <v>0</v>
      </c>
      <c r="EF37" s="14">
        <v>0</v>
      </c>
      <c r="EG37" s="14">
        <v>0</v>
      </c>
      <c r="EH37" s="14">
        <v>0</v>
      </c>
      <c r="EI37" s="14">
        <v>0</v>
      </c>
      <c r="EJ37" s="14">
        <v>0</v>
      </c>
      <c r="EK37" s="14">
        <v>0</v>
      </c>
      <c r="EL37" s="14">
        <v>0</v>
      </c>
      <c r="EM37" s="14">
        <v>0</v>
      </c>
      <c r="EN37" s="14">
        <v>0</v>
      </c>
      <c r="EO37" s="17">
        <v>21</v>
      </c>
      <c r="EP37" s="12" t="s">
        <v>51</v>
      </c>
      <c r="EQ37" s="46">
        <f t="shared" si="72"/>
        <v>0</v>
      </c>
      <c r="ER37" s="14">
        <v>0</v>
      </c>
      <c r="ES37" s="14">
        <v>0</v>
      </c>
      <c r="ET37" s="14">
        <v>0</v>
      </c>
      <c r="EU37" s="14">
        <v>0</v>
      </c>
      <c r="EV37" s="14">
        <v>0</v>
      </c>
      <c r="EW37" s="14">
        <v>0</v>
      </c>
      <c r="EX37" s="14">
        <v>0</v>
      </c>
      <c r="EY37" s="14">
        <v>0</v>
      </c>
      <c r="EZ37" s="14">
        <v>0</v>
      </c>
      <c r="FA37" s="14">
        <v>0</v>
      </c>
      <c r="FB37" s="14">
        <v>0</v>
      </c>
    </row>
    <row r="38" spans="1:158" s="19" customFormat="1" ht="12" customHeight="1" x14ac:dyDescent="0.2">
      <c r="A38" s="57">
        <v>16</v>
      </c>
      <c r="B38" s="12" t="s">
        <v>101</v>
      </c>
      <c r="C38" s="24">
        <f t="shared" si="22"/>
        <v>24143</v>
      </c>
      <c r="D38" s="14"/>
      <c r="E38" s="14">
        <f t="shared" si="23"/>
        <v>0</v>
      </c>
      <c r="F38" s="14">
        <f t="shared" si="24"/>
        <v>0</v>
      </c>
      <c r="G38" s="14">
        <f t="shared" si="25"/>
        <v>0</v>
      </c>
      <c r="H38" s="14">
        <f t="shared" si="64"/>
        <v>0</v>
      </c>
      <c r="I38" s="14">
        <f t="shared" si="64"/>
        <v>0</v>
      </c>
      <c r="J38" s="14">
        <f t="shared" si="64"/>
        <v>0</v>
      </c>
      <c r="K38" s="14">
        <f t="shared" si="64"/>
        <v>0</v>
      </c>
      <c r="L38" s="14">
        <f t="shared" si="64"/>
        <v>0</v>
      </c>
      <c r="M38" s="14">
        <f t="shared" si="64"/>
        <v>0</v>
      </c>
      <c r="N38" s="14">
        <f t="shared" si="64"/>
        <v>24143</v>
      </c>
      <c r="O38" s="57">
        <v>22</v>
      </c>
      <c r="P38" s="12" t="s">
        <v>101</v>
      </c>
      <c r="Q38" s="46">
        <f>S38+T38</f>
        <v>0</v>
      </c>
      <c r="R38" s="14">
        <v>0</v>
      </c>
      <c r="S38" s="14">
        <v>0</v>
      </c>
      <c r="T38" s="14">
        <v>0</v>
      </c>
      <c r="U38" s="57">
        <v>22</v>
      </c>
      <c r="V38" s="12" t="s">
        <v>101</v>
      </c>
      <c r="W38" s="46">
        <f>Y38+Z38</f>
        <v>0</v>
      </c>
      <c r="X38" s="14">
        <v>0</v>
      </c>
      <c r="Y38" s="14">
        <v>0</v>
      </c>
      <c r="Z38" s="14">
        <v>0</v>
      </c>
      <c r="AA38" s="57">
        <v>22</v>
      </c>
      <c r="AB38" s="12" t="s">
        <v>101</v>
      </c>
      <c r="AC38" s="46">
        <f>AE38+AF38</f>
        <v>0</v>
      </c>
      <c r="AD38" s="14">
        <v>0</v>
      </c>
      <c r="AE38" s="14">
        <v>0</v>
      </c>
      <c r="AF38" s="14">
        <v>0</v>
      </c>
      <c r="AG38" s="57">
        <v>22</v>
      </c>
      <c r="AH38" s="12" t="s">
        <v>101</v>
      </c>
      <c r="AI38" s="46">
        <f t="shared" si="38"/>
        <v>0</v>
      </c>
      <c r="AJ38" s="14">
        <v>0</v>
      </c>
      <c r="AK38" s="14">
        <v>0</v>
      </c>
      <c r="AL38" s="14">
        <v>0</v>
      </c>
      <c r="AM38" s="14">
        <v>0</v>
      </c>
      <c r="AN38" s="14">
        <v>0</v>
      </c>
      <c r="AO38" s="14">
        <v>0</v>
      </c>
      <c r="AP38" s="14">
        <v>0</v>
      </c>
      <c r="AQ38" s="14">
        <v>0</v>
      </c>
      <c r="AR38" s="14">
        <v>0</v>
      </c>
      <c r="AS38" s="14">
        <v>0</v>
      </c>
      <c r="AT38" s="14">
        <v>0</v>
      </c>
      <c r="AU38" s="57">
        <v>22</v>
      </c>
      <c r="AV38" s="12" t="s">
        <v>101</v>
      </c>
      <c r="AW38" s="46">
        <f t="shared" si="41"/>
        <v>0</v>
      </c>
      <c r="AX38" s="14">
        <v>0</v>
      </c>
      <c r="AY38" s="14">
        <v>0</v>
      </c>
      <c r="AZ38" s="14">
        <v>0</v>
      </c>
      <c r="BA38" s="14">
        <v>0</v>
      </c>
      <c r="BB38" s="14">
        <v>0</v>
      </c>
      <c r="BC38" s="14">
        <v>0</v>
      </c>
      <c r="BD38" s="14">
        <v>0</v>
      </c>
      <c r="BE38" s="14">
        <v>0</v>
      </c>
      <c r="BF38" s="14">
        <v>0</v>
      </c>
      <c r="BG38" s="14">
        <v>0</v>
      </c>
      <c r="BH38" s="14">
        <v>0</v>
      </c>
      <c r="BI38" s="57">
        <v>22</v>
      </c>
      <c r="BJ38" s="12" t="s">
        <v>101</v>
      </c>
      <c r="BK38" s="46">
        <f t="shared" si="43"/>
        <v>0</v>
      </c>
      <c r="BL38" s="14">
        <v>0</v>
      </c>
      <c r="BM38" s="14">
        <v>0</v>
      </c>
      <c r="BN38" s="14">
        <v>0</v>
      </c>
      <c r="BO38" s="14">
        <v>0</v>
      </c>
      <c r="BP38" s="14">
        <v>0</v>
      </c>
      <c r="BQ38" s="14">
        <v>0</v>
      </c>
      <c r="BR38" s="14">
        <v>0</v>
      </c>
      <c r="BS38" s="14">
        <v>0</v>
      </c>
      <c r="BT38" s="14">
        <v>0</v>
      </c>
      <c r="BU38" s="14">
        <v>0</v>
      </c>
      <c r="BV38" s="14">
        <v>0</v>
      </c>
      <c r="BW38" s="57">
        <v>22</v>
      </c>
      <c r="BX38" s="12" t="s">
        <v>101</v>
      </c>
      <c r="BY38" s="46">
        <f t="shared" si="45"/>
        <v>0</v>
      </c>
      <c r="BZ38" s="14">
        <v>0</v>
      </c>
      <c r="CA38" s="14">
        <v>0</v>
      </c>
      <c r="CB38" s="14">
        <v>0</v>
      </c>
      <c r="CC38" s="14">
        <v>0</v>
      </c>
      <c r="CD38" s="14">
        <v>0</v>
      </c>
      <c r="CE38" s="14">
        <v>0</v>
      </c>
      <c r="CF38" s="14">
        <v>0</v>
      </c>
      <c r="CG38" s="14">
        <v>0</v>
      </c>
      <c r="CH38" s="14">
        <v>0</v>
      </c>
      <c r="CI38" s="14">
        <v>0</v>
      </c>
      <c r="CJ38" s="14">
        <v>0</v>
      </c>
      <c r="CK38" s="57">
        <v>22</v>
      </c>
      <c r="CL38" s="12" t="s">
        <v>101</v>
      </c>
      <c r="CM38" s="46">
        <f t="shared" si="55"/>
        <v>0</v>
      </c>
      <c r="CN38" s="14">
        <v>0</v>
      </c>
      <c r="CO38" s="14">
        <v>0</v>
      </c>
      <c r="CP38" s="14">
        <v>0</v>
      </c>
      <c r="CQ38" s="14">
        <v>0</v>
      </c>
      <c r="CR38" s="14">
        <v>0</v>
      </c>
      <c r="CS38" s="14">
        <v>0</v>
      </c>
      <c r="CT38" s="14">
        <v>0</v>
      </c>
      <c r="CU38" s="14">
        <v>0</v>
      </c>
      <c r="CV38" s="14">
        <v>0</v>
      </c>
      <c r="CW38" s="14">
        <v>0</v>
      </c>
      <c r="CX38" s="14">
        <v>0</v>
      </c>
      <c r="CY38" s="57">
        <v>22</v>
      </c>
      <c r="CZ38" s="12" t="s">
        <v>101</v>
      </c>
      <c r="DA38" s="46">
        <f t="shared" si="69"/>
        <v>0</v>
      </c>
      <c r="DB38" s="14">
        <v>0</v>
      </c>
      <c r="DC38" s="14">
        <v>0</v>
      </c>
      <c r="DD38" s="14">
        <v>0</v>
      </c>
      <c r="DE38" s="14">
        <v>0</v>
      </c>
      <c r="DF38" s="14">
        <v>0</v>
      </c>
      <c r="DG38" s="14">
        <v>0</v>
      </c>
      <c r="DH38" s="14">
        <v>0</v>
      </c>
      <c r="DI38" s="14">
        <v>0</v>
      </c>
      <c r="DJ38" s="14">
        <v>0</v>
      </c>
      <c r="DK38" s="14">
        <v>0</v>
      </c>
      <c r="DL38" s="14">
        <v>0</v>
      </c>
      <c r="DM38" s="57">
        <v>22</v>
      </c>
      <c r="DN38" s="12" t="s">
        <v>101</v>
      </c>
      <c r="DO38" s="46">
        <f t="shared" si="70"/>
        <v>24143</v>
      </c>
      <c r="DP38" s="14">
        <v>0</v>
      </c>
      <c r="DQ38" s="14">
        <v>0</v>
      </c>
      <c r="DR38" s="14">
        <v>0</v>
      </c>
      <c r="DS38" s="14">
        <v>0</v>
      </c>
      <c r="DT38" s="14">
        <v>0</v>
      </c>
      <c r="DU38" s="14">
        <v>0</v>
      </c>
      <c r="DV38" s="14">
        <v>0</v>
      </c>
      <c r="DW38" s="14">
        <v>0</v>
      </c>
      <c r="DX38" s="14">
        <v>0</v>
      </c>
      <c r="DY38" s="14">
        <v>0</v>
      </c>
      <c r="DZ38" s="14">
        <v>24143</v>
      </c>
      <c r="EA38" s="57">
        <v>22</v>
      </c>
      <c r="EB38" s="12" t="s">
        <v>101</v>
      </c>
      <c r="EC38" s="46">
        <f t="shared" si="71"/>
        <v>0</v>
      </c>
      <c r="ED38" s="14">
        <v>0</v>
      </c>
      <c r="EE38" s="14">
        <v>0</v>
      </c>
      <c r="EF38" s="14">
        <v>0</v>
      </c>
      <c r="EG38" s="14">
        <v>0</v>
      </c>
      <c r="EH38" s="14">
        <v>0</v>
      </c>
      <c r="EI38" s="14">
        <v>0</v>
      </c>
      <c r="EJ38" s="14">
        <v>0</v>
      </c>
      <c r="EK38" s="14">
        <v>0</v>
      </c>
      <c r="EL38" s="14">
        <v>0</v>
      </c>
      <c r="EM38" s="14">
        <v>0</v>
      </c>
      <c r="EN38" s="14">
        <v>0</v>
      </c>
      <c r="EO38" s="57">
        <v>22</v>
      </c>
      <c r="EP38" s="12" t="s">
        <v>101</v>
      </c>
      <c r="EQ38" s="46">
        <f t="shared" si="72"/>
        <v>0</v>
      </c>
      <c r="ER38" s="14">
        <v>0</v>
      </c>
      <c r="ES38" s="14">
        <v>0</v>
      </c>
      <c r="ET38" s="14">
        <v>0</v>
      </c>
      <c r="EU38" s="14">
        <v>0</v>
      </c>
      <c r="EV38" s="14">
        <v>0</v>
      </c>
      <c r="EW38" s="14">
        <v>0</v>
      </c>
      <c r="EX38" s="14">
        <v>0</v>
      </c>
      <c r="EY38" s="14">
        <v>0</v>
      </c>
      <c r="EZ38" s="14">
        <v>0</v>
      </c>
      <c r="FA38" s="14">
        <v>0</v>
      </c>
      <c r="FB38" s="14">
        <v>0</v>
      </c>
    </row>
    <row r="39" spans="1:158" s="19" customFormat="1" ht="12" customHeight="1" x14ac:dyDescent="0.2">
      <c r="A39" s="57">
        <v>17</v>
      </c>
      <c r="B39" s="12" t="s">
        <v>33</v>
      </c>
      <c r="C39" s="24">
        <f t="shared" si="22"/>
        <v>2415</v>
      </c>
      <c r="D39" s="14"/>
      <c r="E39" s="14">
        <f t="shared" si="23"/>
        <v>0</v>
      </c>
      <c r="F39" s="14">
        <f t="shared" si="24"/>
        <v>2415</v>
      </c>
      <c r="G39" s="14">
        <f t="shared" si="25"/>
        <v>0</v>
      </c>
      <c r="H39" s="14">
        <f t="shared" si="64"/>
        <v>0</v>
      </c>
      <c r="I39" s="14">
        <f t="shared" si="64"/>
        <v>0</v>
      </c>
      <c r="J39" s="14">
        <f t="shared" si="64"/>
        <v>0</v>
      </c>
      <c r="K39" s="14">
        <f t="shared" si="64"/>
        <v>0</v>
      </c>
      <c r="L39" s="14">
        <f t="shared" si="64"/>
        <v>0</v>
      </c>
      <c r="M39" s="14">
        <f t="shared" si="64"/>
        <v>0</v>
      </c>
      <c r="N39" s="14">
        <f t="shared" si="64"/>
        <v>0</v>
      </c>
      <c r="O39" s="57">
        <v>23</v>
      </c>
      <c r="P39" s="12" t="s">
        <v>33</v>
      </c>
      <c r="Q39" s="46">
        <f>S39+T39</f>
        <v>0</v>
      </c>
      <c r="R39" s="14">
        <v>0</v>
      </c>
      <c r="S39" s="14">
        <v>0</v>
      </c>
      <c r="T39" s="14">
        <v>0</v>
      </c>
      <c r="U39" s="57">
        <v>23</v>
      </c>
      <c r="V39" s="12" t="s">
        <v>33</v>
      </c>
      <c r="W39" s="46">
        <f>Y39+Z39</f>
        <v>0</v>
      </c>
      <c r="X39" s="14">
        <v>0</v>
      </c>
      <c r="Y39" s="14">
        <v>0</v>
      </c>
      <c r="Z39" s="14">
        <v>0</v>
      </c>
      <c r="AA39" s="57">
        <v>23</v>
      </c>
      <c r="AB39" s="12" t="s">
        <v>33</v>
      </c>
      <c r="AC39" s="46">
        <f>AE39+AF39</f>
        <v>0</v>
      </c>
      <c r="AD39" s="14">
        <v>0</v>
      </c>
      <c r="AE39" s="14">
        <v>0</v>
      </c>
      <c r="AF39" s="14">
        <v>0</v>
      </c>
      <c r="AG39" s="57">
        <v>23</v>
      </c>
      <c r="AH39" s="12" t="s">
        <v>33</v>
      </c>
      <c r="AI39" s="46">
        <f t="shared" si="38"/>
        <v>0</v>
      </c>
      <c r="AJ39" s="14">
        <v>0</v>
      </c>
      <c r="AK39" s="14">
        <v>0</v>
      </c>
      <c r="AL39" s="14">
        <v>0</v>
      </c>
      <c r="AM39" s="14">
        <v>0</v>
      </c>
      <c r="AN39" s="14">
        <v>0</v>
      </c>
      <c r="AO39" s="14">
        <v>0</v>
      </c>
      <c r="AP39" s="14">
        <v>0</v>
      </c>
      <c r="AQ39" s="14">
        <v>0</v>
      </c>
      <c r="AR39" s="14">
        <v>0</v>
      </c>
      <c r="AS39" s="14">
        <v>0</v>
      </c>
      <c r="AT39" s="14">
        <v>0</v>
      </c>
      <c r="AU39" s="57">
        <v>23</v>
      </c>
      <c r="AV39" s="12" t="s">
        <v>33</v>
      </c>
      <c r="AW39" s="46">
        <f t="shared" si="41"/>
        <v>0</v>
      </c>
      <c r="AX39" s="14">
        <v>0</v>
      </c>
      <c r="AY39" s="14">
        <v>0</v>
      </c>
      <c r="AZ39" s="14">
        <v>0</v>
      </c>
      <c r="BA39" s="14">
        <v>0</v>
      </c>
      <c r="BB39" s="14">
        <v>0</v>
      </c>
      <c r="BC39" s="14">
        <v>0</v>
      </c>
      <c r="BD39" s="14">
        <v>0</v>
      </c>
      <c r="BE39" s="14">
        <v>0</v>
      </c>
      <c r="BF39" s="14">
        <v>0</v>
      </c>
      <c r="BG39" s="14">
        <v>0</v>
      </c>
      <c r="BH39" s="14">
        <v>0</v>
      </c>
      <c r="BI39" s="57">
        <v>23</v>
      </c>
      <c r="BJ39" s="12" t="s">
        <v>33</v>
      </c>
      <c r="BK39" s="46">
        <f t="shared" si="43"/>
        <v>0</v>
      </c>
      <c r="BL39" s="14">
        <v>0</v>
      </c>
      <c r="BM39" s="14">
        <v>0</v>
      </c>
      <c r="BN39" s="14">
        <v>0</v>
      </c>
      <c r="BO39" s="14">
        <v>0</v>
      </c>
      <c r="BP39" s="14">
        <v>0</v>
      </c>
      <c r="BQ39" s="14">
        <v>0</v>
      </c>
      <c r="BR39" s="14">
        <v>0</v>
      </c>
      <c r="BS39" s="14">
        <v>0</v>
      </c>
      <c r="BT39" s="14">
        <v>0</v>
      </c>
      <c r="BU39" s="14">
        <v>0</v>
      </c>
      <c r="BV39" s="14">
        <v>0</v>
      </c>
      <c r="BW39" s="57">
        <v>23</v>
      </c>
      <c r="BX39" s="12" t="s">
        <v>33</v>
      </c>
      <c r="BY39" s="46">
        <f t="shared" si="45"/>
        <v>0</v>
      </c>
      <c r="BZ39" s="14">
        <v>0</v>
      </c>
      <c r="CA39" s="14">
        <v>0</v>
      </c>
      <c r="CB39" s="14">
        <v>0</v>
      </c>
      <c r="CC39" s="14">
        <v>0</v>
      </c>
      <c r="CD39" s="14">
        <v>0</v>
      </c>
      <c r="CE39" s="14">
        <v>0</v>
      </c>
      <c r="CF39" s="14">
        <v>0</v>
      </c>
      <c r="CG39" s="14">
        <v>0</v>
      </c>
      <c r="CH39" s="14">
        <v>0</v>
      </c>
      <c r="CI39" s="14">
        <v>0</v>
      </c>
      <c r="CJ39" s="14">
        <v>0</v>
      </c>
      <c r="CK39" s="57">
        <v>23</v>
      </c>
      <c r="CL39" s="12" t="s">
        <v>33</v>
      </c>
      <c r="CM39" s="46">
        <f t="shared" si="55"/>
        <v>0</v>
      </c>
      <c r="CN39" s="14">
        <v>0</v>
      </c>
      <c r="CO39" s="14">
        <v>0</v>
      </c>
      <c r="CP39" s="14">
        <v>0</v>
      </c>
      <c r="CQ39" s="14">
        <v>0</v>
      </c>
      <c r="CR39" s="14">
        <v>0</v>
      </c>
      <c r="CS39" s="14">
        <v>0</v>
      </c>
      <c r="CT39" s="14">
        <v>0</v>
      </c>
      <c r="CU39" s="14">
        <v>0</v>
      </c>
      <c r="CV39" s="14">
        <v>0</v>
      </c>
      <c r="CW39" s="14">
        <v>0</v>
      </c>
      <c r="CX39" s="14">
        <v>0</v>
      </c>
      <c r="CY39" s="57">
        <v>23</v>
      </c>
      <c r="CZ39" s="12" t="s">
        <v>33</v>
      </c>
      <c r="DA39" s="46">
        <f t="shared" si="69"/>
        <v>2415</v>
      </c>
      <c r="DB39" s="14">
        <v>0</v>
      </c>
      <c r="DC39" s="14">
        <v>0</v>
      </c>
      <c r="DD39" s="14">
        <v>2415</v>
      </c>
      <c r="DE39" s="14">
        <v>0</v>
      </c>
      <c r="DF39" s="14">
        <v>0</v>
      </c>
      <c r="DG39" s="14">
        <v>0</v>
      </c>
      <c r="DH39" s="14">
        <v>0</v>
      </c>
      <c r="DI39" s="14">
        <v>0</v>
      </c>
      <c r="DJ39" s="14">
        <v>0</v>
      </c>
      <c r="DK39" s="14">
        <v>0</v>
      </c>
      <c r="DL39" s="14">
        <v>0</v>
      </c>
      <c r="DM39" s="57">
        <v>23</v>
      </c>
      <c r="DN39" s="12" t="s">
        <v>33</v>
      </c>
      <c r="DO39" s="46">
        <f t="shared" si="70"/>
        <v>0</v>
      </c>
      <c r="DP39" s="14">
        <v>0</v>
      </c>
      <c r="DQ39" s="14">
        <v>0</v>
      </c>
      <c r="DR39" s="14">
        <v>0</v>
      </c>
      <c r="DS39" s="14">
        <v>0</v>
      </c>
      <c r="DT39" s="14">
        <v>0</v>
      </c>
      <c r="DU39" s="14">
        <v>0</v>
      </c>
      <c r="DV39" s="14">
        <v>0</v>
      </c>
      <c r="DW39" s="14">
        <v>0</v>
      </c>
      <c r="DX39" s="14">
        <v>0</v>
      </c>
      <c r="DY39" s="14">
        <v>0</v>
      </c>
      <c r="DZ39" s="14">
        <v>0</v>
      </c>
      <c r="EA39" s="57">
        <v>23</v>
      </c>
      <c r="EB39" s="12" t="s">
        <v>33</v>
      </c>
      <c r="EC39" s="46">
        <f t="shared" si="71"/>
        <v>0</v>
      </c>
      <c r="ED39" s="14">
        <v>0</v>
      </c>
      <c r="EE39" s="14">
        <v>0</v>
      </c>
      <c r="EF39" s="14">
        <v>0</v>
      </c>
      <c r="EG39" s="14">
        <v>0</v>
      </c>
      <c r="EH39" s="14">
        <v>0</v>
      </c>
      <c r="EI39" s="14">
        <v>0</v>
      </c>
      <c r="EJ39" s="14">
        <v>0</v>
      </c>
      <c r="EK39" s="14">
        <v>0</v>
      </c>
      <c r="EL39" s="14">
        <v>0</v>
      </c>
      <c r="EM39" s="14">
        <v>0</v>
      </c>
      <c r="EN39" s="14">
        <v>0</v>
      </c>
      <c r="EO39" s="57">
        <v>23</v>
      </c>
      <c r="EP39" s="12" t="s">
        <v>33</v>
      </c>
      <c r="EQ39" s="46">
        <f t="shared" si="72"/>
        <v>0</v>
      </c>
      <c r="ER39" s="14">
        <v>0</v>
      </c>
      <c r="ES39" s="14">
        <v>0</v>
      </c>
      <c r="ET39" s="14">
        <v>0</v>
      </c>
      <c r="EU39" s="14">
        <v>0</v>
      </c>
      <c r="EV39" s="14">
        <v>0</v>
      </c>
      <c r="EW39" s="14">
        <v>0</v>
      </c>
      <c r="EX39" s="14">
        <v>0</v>
      </c>
      <c r="EY39" s="14">
        <v>0</v>
      </c>
      <c r="EZ39" s="14">
        <v>0</v>
      </c>
      <c r="FA39" s="14">
        <v>0</v>
      </c>
      <c r="FB39" s="14">
        <v>0</v>
      </c>
    </row>
    <row r="40" spans="1:158" s="19" customFormat="1" ht="12" x14ac:dyDescent="0.2">
      <c r="A40" s="57">
        <v>18</v>
      </c>
      <c r="B40" s="12" t="s">
        <v>98</v>
      </c>
      <c r="C40" s="24">
        <f t="shared" si="22"/>
        <v>62750</v>
      </c>
      <c r="D40" s="14"/>
      <c r="E40" s="14">
        <f t="shared" si="23"/>
        <v>0</v>
      </c>
      <c r="F40" s="14">
        <f t="shared" si="24"/>
        <v>0</v>
      </c>
      <c r="G40" s="14">
        <f t="shared" si="25"/>
        <v>56250</v>
      </c>
      <c r="H40" s="14">
        <f t="shared" si="64"/>
        <v>0</v>
      </c>
      <c r="I40" s="14">
        <f t="shared" si="64"/>
        <v>0</v>
      </c>
      <c r="J40" s="14">
        <f t="shared" si="64"/>
        <v>0</v>
      </c>
      <c r="K40" s="14">
        <f t="shared" si="64"/>
        <v>0</v>
      </c>
      <c r="L40" s="14">
        <f t="shared" si="64"/>
        <v>0</v>
      </c>
      <c r="M40" s="14">
        <f t="shared" si="64"/>
        <v>0</v>
      </c>
      <c r="N40" s="14">
        <f t="shared" si="64"/>
        <v>6500</v>
      </c>
      <c r="O40" s="57">
        <v>24</v>
      </c>
      <c r="P40" s="12" t="s">
        <v>98</v>
      </c>
      <c r="Q40" s="46">
        <f>S40+T40</f>
        <v>0</v>
      </c>
      <c r="R40" s="14">
        <v>0</v>
      </c>
      <c r="S40" s="14">
        <v>0</v>
      </c>
      <c r="T40" s="14">
        <v>0</v>
      </c>
      <c r="U40" s="57">
        <v>24</v>
      </c>
      <c r="V40" s="12" t="s">
        <v>98</v>
      </c>
      <c r="W40" s="46">
        <f>Y40+Z40</f>
        <v>0</v>
      </c>
      <c r="X40" s="14">
        <v>0</v>
      </c>
      <c r="Y40" s="14">
        <v>0</v>
      </c>
      <c r="Z40" s="14">
        <v>0</v>
      </c>
      <c r="AA40" s="57">
        <v>24</v>
      </c>
      <c r="AB40" s="12" t="s">
        <v>98</v>
      </c>
      <c r="AC40" s="46">
        <f>AE40+AF40</f>
        <v>0</v>
      </c>
      <c r="AD40" s="14">
        <v>0</v>
      </c>
      <c r="AE40" s="14">
        <v>0</v>
      </c>
      <c r="AF40" s="14">
        <v>0</v>
      </c>
      <c r="AG40" s="57">
        <v>24</v>
      </c>
      <c r="AH40" s="12" t="s">
        <v>98</v>
      </c>
      <c r="AI40" s="46">
        <f t="shared" si="38"/>
        <v>0</v>
      </c>
      <c r="AJ40" s="14">
        <v>0</v>
      </c>
      <c r="AK40" s="14">
        <v>0</v>
      </c>
      <c r="AL40" s="14">
        <v>0</v>
      </c>
      <c r="AM40" s="14">
        <v>0</v>
      </c>
      <c r="AN40" s="14">
        <v>0</v>
      </c>
      <c r="AO40" s="14">
        <v>0</v>
      </c>
      <c r="AP40" s="14">
        <v>0</v>
      </c>
      <c r="AQ40" s="14">
        <v>0</v>
      </c>
      <c r="AR40" s="14">
        <v>0</v>
      </c>
      <c r="AS40" s="14">
        <v>0</v>
      </c>
      <c r="AT40" s="14">
        <v>0</v>
      </c>
      <c r="AU40" s="57">
        <v>24</v>
      </c>
      <c r="AV40" s="12" t="s">
        <v>98</v>
      </c>
      <c r="AW40" s="46">
        <f t="shared" si="41"/>
        <v>0</v>
      </c>
      <c r="AX40" s="14">
        <v>0</v>
      </c>
      <c r="AY40" s="14">
        <v>0</v>
      </c>
      <c r="AZ40" s="14">
        <v>0</v>
      </c>
      <c r="BA40" s="14">
        <v>0</v>
      </c>
      <c r="BB40" s="14">
        <v>0</v>
      </c>
      <c r="BC40" s="14">
        <v>0</v>
      </c>
      <c r="BD40" s="14">
        <v>0</v>
      </c>
      <c r="BE40" s="14">
        <v>0</v>
      </c>
      <c r="BF40" s="14">
        <v>0</v>
      </c>
      <c r="BG40" s="14">
        <v>0</v>
      </c>
      <c r="BH40" s="14">
        <v>0</v>
      </c>
      <c r="BI40" s="57">
        <v>24</v>
      </c>
      <c r="BJ40" s="12" t="s">
        <v>98</v>
      </c>
      <c r="BK40" s="46">
        <f t="shared" si="43"/>
        <v>0</v>
      </c>
      <c r="BL40" s="14">
        <v>0</v>
      </c>
      <c r="BM40" s="14">
        <v>0</v>
      </c>
      <c r="BN40" s="14">
        <v>0</v>
      </c>
      <c r="BO40" s="14">
        <v>0</v>
      </c>
      <c r="BP40" s="14">
        <v>0</v>
      </c>
      <c r="BQ40" s="14">
        <v>0</v>
      </c>
      <c r="BR40" s="14">
        <v>0</v>
      </c>
      <c r="BS40" s="14">
        <v>0</v>
      </c>
      <c r="BT40" s="14">
        <v>0</v>
      </c>
      <c r="BU40" s="14">
        <v>0</v>
      </c>
      <c r="BV40" s="14">
        <v>0</v>
      </c>
      <c r="BW40" s="57">
        <v>24</v>
      </c>
      <c r="BX40" s="12" t="s">
        <v>98</v>
      </c>
      <c r="BY40" s="46">
        <f t="shared" si="45"/>
        <v>0</v>
      </c>
      <c r="BZ40" s="14">
        <v>0</v>
      </c>
      <c r="CA40" s="14">
        <v>0</v>
      </c>
      <c r="CB40" s="14">
        <v>0</v>
      </c>
      <c r="CC40" s="14">
        <v>0</v>
      </c>
      <c r="CD40" s="14">
        <v>0</v>
      </c>
      <c r="CE40" s="14">
        <v>0</v>
      </c>
      <c r="CF40" s="14">
        <v>0</v>
      </c>
      <c r="CG40" s="14">
        <v>0</v>
      </c>
      <c r="CH40" s="14">
        <v>0</v>
      </c>
      <c r="CI40" s="14">
        <v>0</v>
      </c>
      <c r="CJ40" s="14">
        <v>0</v>
      </c>
      <c r="CK40" s="57">
        <v>24</v>
      </c>
      <c r="CL40" s="12" t="s">
        <v>98</v>
      </c>
      <c r="CM40" s="46">
        <f t="shared" si="55"/>
        <v>35000</v>
      </c>
      <c r="CN40" s="14">
        <v>0</v>
      </c>
      <c r="CO40" s="14">
        <v>0</v>
      </c>
      <c r="CP40" s="14">
        <v>0</v>
      </c>
      <c r="CQ40" s="14">
        <v>35000</v>
      </c>
      <c r="CR40" s="14">
        <v>0</v>
      </c>
      <c r="CS40" s="14">
        <v>0</v>
      </c>
      <c r="CT40" s="14">
        <v>0</v>
      </c>
      <c r="CU40" s="14">
        <v>0</v>
      </c>
      <c r="CV40" s="14">
        <v>0</v>
      </c>
      <c r="CW40" s="14">
        <v>0</v>
      </c>
      <c r="CX40" s="14">
        <v>0</v>
      </c>
      <c r="CY40" s="57">
        <v>24</v>
      </c>
      <c r="CZ40" s="12" t="s">
        <v>98</v>
      </c>
      <c r="DA40" s="46">
        <f t="shared" si="69"/>
        <v>0</v>
      </c>
      <c r="DB40" s="14">
        <v>0</v>
      </c>
      <c r="DC40" s="14">
        <v>0</v>
      </c>
      <c r="DD40" s="14">
        <v>0</v>
      </c>
      <c r="DE40" s="14">
        <v>0</v>
      </c>
      <c r="DF40" s="14">
        <v>0</v>
      </c>
      <c r="DG40" s="14">
        <v>0</v>
      </c>
      <c r="DH40" s="14">
        <v>0</v>
      </c>
      <c r="DI40" s="14">
        <v>0</v>
      </c>
      <c r="DJ40" s="14">
        <v>0</v>
      </c>
      <c r="DK40" s="14">
        <v>0</v>
      </c>
      <c r="DL40" s="14">
        <v>0</v>
      </c>
      <c r="DM40" s="57">
        <v>24</v>
      </c>
      <c r="DN40" s="12" t="s">
        <v>98</v>
      </c>
      <c r="DO40" s="46">
        <f t="shared" si="70"/>
        <v>0</v>
      </c>
      <c r="DP40" s="14">
        <v>0</v>
      </c>
      <c r="DQ40" s="14">
        <v>0</v>
      </c>
      <c r="DR40" s="14">
        <v>0</v>
      </c>
      <c r="DS40" s="14">
        <v>0</v>
      </c>
      <c r="DT40" s="14">
        <v>0</v>
      </c>
      <c r="DU40" s="14">
        <v>0</v>
      </c>
      <c r="DV40" s="14">
        <v>0</v>
      </c>
      <c r="DW40" s="14">
        <v>0</v>
      </c>
      <c r="DX40" s="14">
        <v>0</v>
      </c>
      <c r="DY40" s="14">
        <v>0</v>
      </c>
      <c r="DZ40" s="14">
        <v>0</v>
      </c>
      <c r="EA40" s="57">
        <v>24</v>
      </c>
      <c r="EB40" s="12" t="s">
        <v>98</v>
      </c>
      <c r="EC40" s="46">
        <f t="shared" si="71"/>
        <v>27750</v>
      </c>
      <c r="ED40" s="14">
        <v>0</v>
      </c>
      <c r="EE40" s="14">
        <v>0</v>
      </c>
      <c r="EF40" s="14">
        <v>0</v>
      </c>
      <c r="EG40" s="14">
        <v>21250</v>
      </c>
      <c r="EH40" s="14">
        <v>0</v>
      </c>
      <c r="EI40" s="14">
        <v>0</v>
      </c>
      <c r="EJ40" s="14">
        <v>0</v>
      </c>
      <c r="EK40" s="14">
        <v>0</v>
      </c>
      <c r="EL40" s="14">
        <v>0</v>
      </c>
      <c r="EM40" s="14">
        <v>0</v>
      </c>
      <c r="EN40" s="14">
        <v>6500</v>
      </c>
      <c r="EO40" s="57">
        <v>24</v>
      </c>
      <c r="EP40" s="12" t="s">
        <v>98</v>
      </c>
      <c r="EQ40" s="46">
        <f t="shared" si="72"/>
        <v>0</v>
      </c>
      <c r="ER40" s="14">
        <v>0</v>
      </c>
      <c r="ES40" s="14">
        <v>0</v>
      </c>
      <c r="ET40" s="14">
        <v>0</v>
      </c>
      <c r="EU40" s="14">
        <v>0</v>
      </c>
      <c r="EV40" s="14">
        <v>0</v>
      </c>
      <c r="EW40" s="14">
        <v>0</v>
      </c>
      <c r="EX40" s="14">
        <v>0</v>
      </c>
      <c r="EY40" s="14">
        <v>0</v>
      </c>
      <c r="EZ40" s="14">
        <v>0</v>
      </c>
      <c r="FA40" s="14">
        <v>0</v>
      </c>
      <c r="FB40" s="14">
        <v>0</v>
      </c>
    </row>
    <row r="41" spans="1:158" s="19" customFormat="1" ht="36" customHeight="1" x14ac:dyDescent="0.2">
      <c r="A41" s="17">
        <v>19</v>
      </c>
      <c r="B41" s="33" t="s">
        <v>34</v>
      </c>
      <c r="C41" s="24">
        <f t="shared" si="22"/>
        <v>11699.86</v>
      </c>
      <c r="D41" s="14"/>
      <c r="E41" s="14">
        <f t="shared" si="23"/>
        <v>2220.7200000000003</v>
      </c>
      <c r="F41" s="14">
        <f t="shared" si="24"/>
        <v>644.82000000000005</v>
      </c>
      <c r="G41" s="14">
        <f t="shared" si="25"/>
        <v>1524.58</v>
      </c>
      <c r="H41" s="14">
        <f t="shared" si="64"/>
        <v>1018.8599999999999</v>
      </c>
      <c r="I41" s="14">
        <f t="shared" si="64"/>
        <v>1652.59</v>
      </c>
      <c r="J41" s="14">
        <f t="shared" si="64"/>
        <v>1241.04</v>
      </c>
      <c r="K41" s="14">
        <f t="shared" si="64"/>
        <v>449.65</v>
      </c>
      <c r="L41" s="14">
        <f t="shared" si="64"/>
        <v>928.93</v>
      </c>
      <c r="M41" s="14">
        <f t="shared" si="64"/>
        <v>1304.52</v>
      </c>
      <c r="N41" s="14">
        <f t="shared" si="64"/>
        <v>714.15</v>
      </c>
      <c r="O41" s="17">
        <v>25</v>
      </c>
      <c r="P41" s="12" t="s">
        <v>73</v>
      </c>
      <c r="Q41" s="46">
        <f>SUM(S41:T41)</f>
        <v>150.01</v>
      </c>
      <c r="R41" s="14">
        <v>0</v>
      </c>
      <c r="S41" s="14">
        <v>102.68</v>
      </c>
      <c r="T41" s="14">
        <v>47.33</v>
      </c>
      <c r="U41" s="17">
        <v>25</v>
      </c>
      <c r="V41" s="12" t="s">
        <v>35</v>
      </c>
      <c r="W41" s="46">
        <f>SUM(Y41:Z41)</f>
        <v>969.83</v>
      </c>
      <c r="X41" s="14">
        <v>0</v>
      </c>
      <c r="Y41" s="14">
        <v>922.5</v>
      </c>
      <c r="Z41" s="14">
        <v>47.33</v>
      </c>
      <c r="AA41" s="17">
        <v>25</v>
      </c>
      <c r="AB41" s="12" t="s">
        <v>35</v>
      </c>
      <c r="AC41" s="46">
        <f>SUM(AE41:AF41)</f>
        <v>0</v>
      </c>
      <c r="AD41" s="14">
        <v>0</v>
      </c>
      <c r="AE41" s="14">
        <v>0</v>
      </c>
      <c r="AF41" s="14">
        <v>0</v>
      </c>
      <c r="AG41" s="17">
        <v>25</v>
      </c>
      <c r="AH41" s="12" t="s">
        <v>35</v>
      </c>
      <c r="AI41" s="46">
        <f t="shared" si="38"/>
        <v>0</v>
      </c>
      <c r="AJ41" s="14">
        <v>0</v>
      </c>
      <c r="AK41" s="14">
        <v>0</v>
      </c>
      <c r="AL41" s="14">
        <v>0</v>
      </c>
      <c r="AM41" s="14">
        <v>0</v>
      </c>
      <c r="AN41" s="14">
        <v>0</v>
      </c>
      <c r="AO41" s="14">
        <v>0</v>
      </c>
      <c r="AP41" s="14">
        <v>0</v>
      </c>
      <c r="AQ41" s="14">
        <v>0</v>
      </c>
      <c r="AR41" s="14">
        <v>0</v>
      </c>
      <c r="AS41" s="14">
        <v>0</v>
      </c>
      <c r="AT41" s="14">
        <v>0</v>
      </c>
      <c r="AU41" s="17">
        <v>25</v>
      </c>
      <c r="AV41" s="12" t="s">
        <v>35</v>
      </c>
      <c r="AW41" s="46">
        <f t="shared" si="41"/>
        <v>0</v>
      </c>
      <c r="AX41" s="14">
        <v>0</v>
      </c>
      <c r="AY41" s="14">
        <v>0</v>
      </c>
      <c r="AZ41" s="14">
        <v>0</v>
      </c>
      <c r="BA41" s="14">
        <v>0</v>
      </c>
      <c r="BB41" s="14">
        <v>0</v>
      </c>
      <c r="BC41" s="14">
        <v>0</v>
      </c>
      <c r="BD41" s="14">
        <v>0</v>
      </c>
      <c r="BE41" s="14">
        <v>0</v>
      </c>
      <c r="BF41" s="14">
        <v>0</v>
      </c>
      <c r="BG41" s="14">
        <v>0</v>
      </c>
      <c r="BH41" s="14">
        <v>0</v>
      </c>
      <c r="BI41" s="17">
        <v>25</v>
      </c>
      <c r="BJ41" s="12" t="s">
        <v>35</v>
      </c>
      <c r="BK41" s="46">
        <f t="shared" si="43"/>
        <v>0</v>
      </c>
      <c r="BL41" s="14">
        <v>0</v>
      </c>
      <c r="BM41" s="14">
        <v>0</v>
      </c>
      <c r="BN41" s="14">
        <v>0</v>
      </c>
      <c r="BO41" s="14">
        <v>0</v>
      </c>
      <c r="BP41" s="14">
        <v>0</v>
      </c>
      <c r="BQ41" s="14">
        <v>0</v>
      </c>
      <c r="BR41" s="14">
        <v>0</v>
      </c>
      <c r="BS41" s="14">
        <v>0</v>
      </c>
      <c r="BT41" s="14">
        <v>0</v>
      </c>
      <c r="BU41" s="14">
        <v>0</v>
      </c>
      <c r="BV41" s="14">
        <v>0</v>
      </c>
      <c r="BW41" s="17">
        <v>25</v>
      </c>
      <c r="BX41" s="12" t="s">
        <v>35</v>
      </c>
      <c r="BY41" s="46">
        <f t="shared" si="45"/>
        <v>920.0100000000001</v>
      </c>
      <c r="BZ41" s="14">
        <v>0</v>
      </c>
      <c r="CA41" s="14">
        <v>103.96</v>
      </c>
      <c r="CB41" s="14">
        <v>47.84</v>
      </c>
      <c r="CC41" s="14">
        <v>132.57</v>
      </c>
      <c r="CD41" s="14">
        <v>88.6</v>
      </c>
      <c r="CE41" s="14">
        <v>143.69999999999999</v>
      </c>
      <c r="CF41" s="14">
        <v>107.92</v>
      </c>
      <c r="CG41" s="14">
        <v>39.1</v>
      </c>
      <c r="CH41" s="14">
        <v>80.78</v>
      </c>
      <c r="CI41" s="14">
        <v>113.44</v>
      </c>
      <c r="CJ41" s="14">
        <v>62.1</v>
      </c>
      <c r="CK41" s="17">
        <v>25</v>
      </c>
      <c r="CL41" s="12" t="s">
        <v>35</v>
      </c>
      <c r="CM41" s="46">
        <f>SUM(CO41:CX41)</f>
        <v>0</v>
      </c>
      <c r="CN41" s="14">
        <v>0</v>
      </c>
      <c r="CO41" s="14">
        <v>0</v>
      </c>
      <c r="CP41" s="14">
        <v>0</v>
      </c>
      <c r="CQ41" s="14">
        <v>0</v>
      </c>
      <c r="CR41" s="14">
        <v>0</v>
      </c>
      <c r="CS41" s="14">
        <v>0</v>
      </c>
      <c r="CT41" s="14">
        <v>0</v>
      </c>
      <c r="CU41" s="14">
        <v>0</v>
      </c>
      <c r="CV41" s="14">
        <v>0</v>
      </c>
      <c r="CW41" s="14">
        <v>0</v>
      </c>
      <c r="CX41" s="14">
        <v>0</v>
      </c>
      <c r="CY41" s="17">
        <v>25</v>
      </c>
      <c r="CZ41" s="12" t="s">
        <v>35</v>
      </c>
      <c r="DA41" s="46">
        <f>SUM(DC41:DL41)</f>
        <v>1700</v>
      </c>
      <c r="DB41" s="14">
        <v>0</v>
      </c>
      <c r="DC41" s="14">
        <v>192.1</v>
      </c>
      <c r="DD41" s="14">
        <v>88.4</v>
      </c>
      <c r="DE41" s="14">
        <v>244.97</v>
      </c>
      <c r="DF41" s="14">
        <v>163.71</v>
      </c>
      <c r="DG41" s="14">
        <v>265.54000000000002</v>
      </c>
      <c r="DH41" s="14">
        <v>199.41</v>
      </c>
      <c r="DI41" s="14">
        <v>72.25</v>
      </c>
      <c r="DJ41" s="14">
        <v>149.26</v>
      </c>
      <c r="DK41" s="14">
        <v>209.61</v>
      </c>
      <c r="DL41" s="14">
        <v>114.75</v>
      </c>
      <c r="DM41" s="17">
        <v>25</v>
      </c>
      <c r="DN41" s="12" t="s">
        <v>35</v>
      </c>
      <c r="DO41" s="46">
        <f>SUM(DQ41:DZ41)</f>
        <v>0</v>
      </c>
      <c r="DP41" s="14">
        <v>0</v>
      </c>
      <c r="DQ41" s="14">
        <v>0</v>
      </c>
      <c r="DR41" s="14">
        <v>0</v>
      </c>
      <c r="DS41" s="14">
        <v>0</v>
      </c>
      <c r="DT41" s="14">
        <v>0</v>
      </c>
      <c r="DU41" s="14">
        <v>0</v>
      </c>
      <c r="DV41" s="14">
        <v>0</v>
      </c>
      <c r="DW41" s="14">
        <v>0</v>
      </c>
      <c r="DX41" s="14">
        <v>0</v>
      </c>
      <c r="DY41" s="14">
        <v>0</v>
      </c>
      <c r="DZ41" s="14">
        <v>0</v>
      </c>
      <c r="EA41" s="17">
        <v>25</v>
      </c>
      <c r="EB41" s="12" t="s">
        <v>35</v>
      </c>
      <c r="EC41" s="46">
        <f>SUM(EE41:EN41)</f>
        <v>0</v>
      </c>
      <c r="ED41" s="14">
        <v>0</v>
      </c>
      <c r="EE41" s="14">
        <v>0</v>
      </c>
      <c r="EF41" s="14">
        <v>0</v>
      </c>
      <c r="EG41" s="14">
        <v>0</v>
      </c>
      <c r="EH41" s="14">
        <v>0</v>
      </c>
      <c r="EI41" s="14">
        <v>0</v>
      </c>
      <c r="EJ41" s="14">
        <v>0</v>
      </c>
      <c r="EK41" s="14">
        <v>0</v>
      </c>
      <c r="EL41" s="14">
        <v>0</v>
      </c>
      <c r="EM41" s="14">
        <v>0</v>
      </c>
      <c r="EN41" s="14">
        <v>0</v>
      </c>
      <c r="EO41" s="17">
        <v>25</v>
      </c>
      <c r="EP41" s="12" t="s">
        <v>35</v>
      </c>
      <c r="EQ41" s="46">
        <f>SUM(ES41:FB41)</f>
        <v>7960.0100000000011</v>
      </c>
      <c r="ER41" s="14">
        <v>0</v>
      </c>
      <c r="ES41" s="14">
        <v>899.48</v>
      </c>
      <c r="ET41" s="14">
        <v>413.92</v>
      </c>
      <c r="EU41" s="14">
        <v>1147.04</v>
      </c>
      <c r="EV41" s="14">
        <v>766.55</v>
      </c>
      <c r="EW41" s="14">
        <v>1243.3499999999999</v>
      </c>
      <c r="EX41" s="14">
        <v>933.71</v>
      </c>
      <c r="EY41" s="14">
        <v>338.3</v>
      </c>
      <c r="EZ41" s="14">
        <v>698.89</v>
      </c>
      <c r="FA41" s="14">
        <v>981.47</v>
      </c>
      <c r="FB41" s="14">
        <v>537.29999999999995</v>
      </c>
    </row>
    <row r="42" spans="1:158" s="19" customFormat="1" ht="24" customHeight="1" x14ac:dyDescent="0.2">
      <c r="A42" s="57">
        <v>20</v>
      </c>
      <c r="B42" s="12" t="s">
        <v>59</v>
      </c>
      <c r="C42" s="24">
        <f t="shared" si="22"/>
        <v>14657.99</v>
      </c>
      <c r="D42" s="14"/>
      <c r="E42" s="14">
        <f t="shared" si="23"/>
        <v>0</v>
      </c>
      <c r="F42" s="14">
        <f t="shared" si="24"/>
        <v>0</v>
      </c>
      <c r="G42" s="14">
        <f t="shared" si="25"/>
        <v>0</v>
      </c>
      <c r="H42" s="14">
        <f t="shared" si="64"/>
        <v>0</v>
      </c>
      <c r="I42" s="14">
        <f t="shared" si="64"/>
        <v>0</v>
      </c>
      <c r="J42" s="14">
        <f t="shared" si="64"/>
        <v>5850.42</v>
      </c>
      <c r="K42" s="14">
        <f t="shared" si="64"/>
        <v>2120.5699999999997</v>
      </c>
      <c r="L42" s="14">
        <f t="shared" si="64"/>
        <v>2779.82</v>
      </c>
      <c r="M42" s="14">
        <f t="shared" si="64"/>
        <v>3907.18</v>
      </c>
      <c r="N42" s="14">
        <f t="shared" si="64"/>
        <v>0</v>
      </c>
      <c r="O42" s="17">
        <v>26</v>
      </c>
      <c r="P42" s="12" t="s">
        <v>71</v>
      </c>
      <c r="Q42" s="46">
        <f>S42+T42</f>
        <v>0</v>
      </c>
      <c r="R42" s="14">
        <v>0</v>
      </c>
      <c r="S42" s="14">
        <v>0</v>
      </c>
      <c r="T42" s="14">
        <v>0</v>
      </c>
      <c r="U42" s="17">
        <v>26</v>
      </c>
      <c r="V42" s="12" t="s">
        <v>71</v>
      </c>
      <c r="W42" s="46">
        <f>Y42+Z42</f>
        <v>0</v>
      </c>
      <c r="X42" s="14">
        <v>0</v>
      </c>
      <c r="Y42" s="14">
        <v>0</v>
      </c>
      <c r="Z42" s="14">
        <v>0</v>
      </c>
      <c r="AA42" s="17">
        <v>26</v>
      </c>
      <c r="AB42" s="12" t="s">
        <v>71</v>
      </c>
      <c r="AC42" s="46">
        <f>AE42+AF42</f>
        <v>0</v>
      </c>
      <c r="AD42" s="14">
        <v>0</v>
      </c>
      <c r="AE42" s="14">
        <v>0</v>
      </c>
      <c r="AF42" s="14">
        <v>0</v>
      </c>
      <c r="AG42" s="17">
        <v>26</v>
      </c>
      <c r="AH42" s="12" t="s">
        <v>71</v>
      </c>
      <c r="AI42" s="46">
        <f t="shared" si="38"/>
        <v>0</v>
      </c>
      <c r="AJ42" s="14">
        <v>0</v>
      </c>
      <c r="AK42" s="14">
        <v>0</v>
      </c>
      <c r="AL42" s="14">
        <v>0</v>
      </c>
      <c r="AM42" s="14">
        <v>0</v>
      </c>
      <c r="AN42" s="14">
        <v>0</v>
      </c>
      <c r="AO42" s="14">
        <v>0</v>
      </c>
      <c r="AP42" s="14">
        <v>0</v>
      </c>
      <c r="AQ42" s="14">
        <v>0</v>
      </c>
      <c r="AR42" s="14">
        <v>0</v>
      </c>
      <c r="AS42" s="14">
        <v>0</v>
      </c>
      <c r="AT42" s="14">
        <v>0</v>
      </c>
      <c r="AU42" s="17">
        <v>26</v>
      </c>
      <c r="AV42" s="12" t="s">
        <v>71</v>
      </c>
      <c r="AW42" s="46">
        <f t="shared" si="41"/>
        <v>0</v>
      </c>
      <c r="AX42" s="14">
        <v>0</v>
      </c>
      <c r="AY42" s="14">
        <v>0</v>
      </c>
      <c r="AZ42" s="14">
        <v>0</v>
      </c>
      <c r="BA42" s="14">
        <v>0</v>
      </c>
      <c r="BB42" s="14">
        <v>0</v>
      </c>
      <c r="BC42" s="14">
        <v>0</v>
      </c>
      <c r="BD42" s="14">
        <v>0</v>
      </c>
      <c r="BE42" s="14">
        <v>0</v>
      </c>
      <c r="BF42" s="14">
        <v>0</v>
      </c>
      <c r="BG42" s="14">
        <v>0</v>
      </c>
      <c r="BH42" s="14">
        <v>0</v>
      </c>
      <c r="BI42" s="17">
        <v>26</v>
      </c>
      <c r="BJ42" s="12" t="s">
        <v>71</v>
      </c>
      <c r="BK42" s="46">
        <f t="shared" si="43"/>
        <v>0</v>
      </c>
      <c r="BL42" s="14">
        <v>0</v>
      </c>
      <c r="BM42" s="14">
        <v>0</v>
      </c>
      <c r="BN42" s="14">
        <v>0</v>
      </c>
      <c r="BO42" s="14">
        <v>0</v>
      </c>
      <c r="BP42" s="14">
        <v>0</v>
      </c>
      <c r="BQ42" s="14">
        <v>0</v>
      </c>
      <c r="BR42" s="14">
        <v>0</v>
      </c>
      <c r="BS42" s="14">
        <v>0</v>
      </c>
      <c r="BT42" s="14">
        <v>0</v>
      </c>
      <c r="BU42" s="14">
        <v>0</v>
      </c>
      <c r="BV42" s="14">
        <v>0</v>
      </c>
      <c r="BW42" s="17">
        <v>26</v>
      </c>
      <c r="BX42" s="12" t="s">
        <v>71</v>
      </c>
      <c r="BY42" s="46">
        <f t="shared" si="45"/>
        <v>1964.46</v>
      </c>
      <c r="BZ42" s="14">
        <v>0</v>
      </c>
      <c r="CA42" s="14">
        <v>0</v>
      </c>
      <c r="CB42" s="14">
        <v>0</v>
      </c>
      <c r="CC42" s="14">
        <v>0</v>
      </c>
      <c r="CD42" s="14">
        <v>0</v>
      </c>
      <c r="CE42" s="14">
        <v>0</v>
      </c>
      <c r="CF42" s="14">
        <v>1441.91</v>
      </c>
      <c r="CG42" s="14">
        <v>522.54999999999995</v>
      </c>
      <c r="CH42" s="14">
        <v>0</v>
      </c>
      <c r="CI42" s="14">
        <v>0</v>
      </c>
      <c r="CJ42" s="14">
        <v>0</v>
      </c>
      <c r="CK42" s="17">
        <v>26</v>
      </c>
      <c r="CL42" s="12" t="s">
        <v>71</v>
      </c>
      <c r="CM42" s="46">
        <f>SUM(CO42:CX42)</f>
        <v>6006.5300000000007</v>
      </c>
      <c r="CN42" s="14">
        <v>0</v>
      </c>
      <c r="CO42" s="14">
        <v>0</v>
      </c>
      <c r="CP42" s="14">
        <v>0</v>
      </c>
      <c r="CQ42" s="14">
        <v>0</v>
      </c>
      <c r="CR42" s="14">
        <v>0</v>
      </c>
      <c r="CS42" s="14">
        <v>0</v>
      </c>
      <c r="CT42" s="14">
        <f>3963.33+445.18</f>
        <v>4408.51</v>
      </c>
      <c r="CU42" s="14">
        <f>1436.67+161.35</f>
        <v>1598.02</v>
      </c>
      <c r="CV42" s="14">
        <v>0</v>
      </c>
      <c r="CW42" s="14">
        <v>0</v>
      </c>
      <c r="CX42" s="14">
        <v>0</v>
      </c>
      <c r="CY42" s="17">
        <v>26</v>
      </c>
      <c r="CZ42" s="12" t="s">
        <v>71</v>
      </c>
      <c r="DA42" s="46">
        <f>SUM(DC42:DL42)</f>
        <v>0</v>
      </c>
      <c r="DB42" s="14">
        <v>0</v>
      </c>
      <c r="DC42" s="14">
        <v>0</v>
      </c>
      <c r="DD42" s="14">
        <v>0</v>
      </c>
      <c r="DE42" s="14">
        <v>0</v>
      </c>
      <c r="DF42" s="14">
        <v>0</v>
      </c>
      <c r="DG42" s="14">
        <v>0</v>
      </c>
      <c r="DH42" s="14">
        <v>0</v>
      </c>
      <c r="DI42" s="14">
        <v>0</v>
      </c>
      <c r="DJ42" s="14">
        <v>0</v>
      </c>
      <c r="DK42" s="14">
        <v>0</v>
      </c>
      <c r="DL42" s="14">
        <v>0</v>
      </c>
      <c r="DM42" s="17">
        <v>26</v>
      </c>
      <c r="DN42" s="12" t="s">
        <v>71</v>
      </c>
      <c r="DO42" s="46">
        <f>SUM(DQ42:DZ42)</f>
        <v>6687</v>
      </c>
      <c r="DP42" s="14">
        <v>0</v>
      </c>
      <c r="DQ42" s="14">
        <v>0</v>
      </c>
      <c r="DR42" s="14">
        <v>0</v>
      </c>
      <c r="DS42" s="14">
        <v>0</v>
      </c>
      <c r="DT42" s="14">
        <v>0</v>
      </c>
      <c r="DU42" s="14">
        <v>0</v>
      </c>
      <c r="DV42" s="14">
        <v>0</v>
      </c>
      <c r="DW42" s="14">
        <v>0</v>
      </c>
      <c r="DX42" s="14">
        <f>2779.82</f>
        <v>2779.82</v>
      </c>
      <c r="DY42" s="14">
        <f>3907.18</f>
        <v>3907.18</v>
      </c>
      <c r="DZ42" s="14">
        <v>0</v>
      </c>
      <c r="EA42" s="17">
        <v>26</v>
      </c>
      <c r="EB42" s="12" t="s">
        <v>71</v>
      </c>
      <c r="EC42" s="46">
        <f>SUM(EE42:EN42)</f>
        <v>0</v>
      </c>
      <c r="ED42" s="14">
        <v>0</v>
      </c>
      <c r="EE42" s="14">
        <v>0</v>
      </c>
      <c r="EF42" s="14">
        <v>0</v>
      </c>
      <c r="EG42" s="14">
        <v>0</v>
      </c>
      <c r="EH42" s="14">
        <v>0</v>
      </c>
      <c r="EI42" s="14">
        <v>0</v>
      </c>
      <c r="EJ42" s="14">
        <v>0</v>
      </c>
      <c r="EK42" s="14">
        <v>0</v>
      </c>
      <c r="EL42" s="14">
        <v>0</v>
      </c>
      <c r="EM42" s="14">
        <v>0</v>
      </c>
      <c r="EN42" s="14">
        <v>0</v>
      </c>
      <c r="EO42" s="17">
        <v>26</v>
      </c>
      <c r="EP42" s="12" t="s">
        <v>71</v>
      </c>
      <c r="EQ42" s="46">
        <f>SUM(ES42:FB42)</f>
        <v>0</v>
      </c>
      <c r="ER42" s="14">
        <v>0</v>
      </c>
      <c r="ES42" s="14">
        <v>0</v>
      </c>
      <c r="ET42" s="14">
        <v>0</v>
      </c>
      <c r="EU42" s="14">
        <v>0</v>
      </c>
      <c r="EV42" s="14">
        <v>0</v>
      </c>
      <c r="EW42" s="14">
        <v>0</v>
      </c>
      <c r="EX42" s="14">
        <v>0</v>
      </c>
      <c r="EY42" s="14">
        <v>0</v>
      </c>
      <c r="EZ42" s="14">
        <v>0</v>
      </c>
      <c r="FA42" s="14">
        <v>0</v>
      </c>
      <c r="FB42" s="14">
        <v>0</v>
      </c>
    </row>
    <row r="43" spans="1:158" s="19" customFormat="1" ht="12" customHeight="1" x14ac:dyDescent="0.2">
      <c r="A43" s="57">
        <v>21</v>
      </c>
      <c r="B43" s="12" t="s">
        <v>85</v>
      </c>
      <c r="C43" s="24">
        <f t="shared" si="22"/>
        <v>116644</v>
      </c>
      <c r="D43" s="14"/>
      <c r="E43" s="14">
        <f t="shared" si="23"/>
        <v>80044</v>
      </c>
      <c r="F43" s="14">
        <f t="shared" si="24"/>
        <v>0</v>
      </c>
      <c r="G43" s="14">
        <f t="shared" si="25"/>
        <v>0</v>
      </c>
      <c r="H43" s="14">
        <f t="shared" si="64"/>
        <v>36600</v>
      </c>
      <c r="I43" s="14">
        <f t="shared" si="64"/>
        <v>0</v>
      </c>
      <c r="J43" s="14">
        <f t="shared" si="64"/>
        <v>0</v>
      </c>
      <c r="K43" s="14">
        <f t="shared" si="64"/>
        <v>0</v>
      </c>
      <c r="L43" s="14">
        <f t="shared" si="64"/>
        <v>0</v>
      </c>
      <c r="M43" s="14">
        <f t="shared" si="64"/>
        <v>0</v>
      </c>
      <c r="N43" s="14">
        <f t="shared" si="64"/>
        <v>0</v>
      </c>
      <c r="O43" s="57">
        <v>27</v>
      </c>
      <c r="P43" s="12" t="s">
        <v>85</v>
      </c>
      <c r="Q43" s="24">
        <f>S43+T43</f>
        <v>0</v>
      </c>
      <c r="R43" s="14">
        <v>0</v>
      </c>
      <c r="S43" s="14">
        <v>0</v>
      </c>
      <c r="T43" s="14">
        <v>0</v>
      </c>
      <c r="U43" s="57">
        <v>27</v>
      </c>
      <c r="V43" s="12" t="s">
        <v>85</v>
      </c>
      <c r="W43" s="24">
        <f>Y43+Z43</f>
        <v>0</v>
      </c>
      <c r="X43" s="14">
        <v>0</v>
      </c>
      <c r="Y43" s="14">
        <v>0</v>
      </c>
      <c r="Z43" s="14">
        <v>0</v>
      </c>
      <c r="AA43" s="57">
        <v>27</v>
      </c>
      <c r="AB43" s="12" t="s">
        <v>85</v>
      </c>
      <c r="AC43" s="24">
        <f>AE43+AF43</f>
        <v>0</v>
      </c>
      <c r="AD43" s="14">
        <v>0</v>
      </c>
      <c r="AE43" s="14">
        <v>0</v>
      </c>
      <c r="AF43" s="14">
        <v>0</v>
      </c>
      <c r="AG43" s="57">
        <v>27</v>
      </c>
      <c r="AH43" s="12" t="s">
        <v>85</v>
      </c>
      <c r="AI43" s="24">
        <f t="shared" si="38"/>
        <v>0</v>
      </c>
      <c r="AJ43" s="14">
        <v>0</v>
      </c>
      <c r="AK43" s="14">
        <v>0</v>
      </c>
      <c r="AL43" s="14">
        <v>0</v>
      </c>
      <c r="AM43" s="14">
        <v>0</v>
      </c>
      <c r="AN43" s="14">
        <v>0</v>
      </c>
      <c r="AO43" s="14">
        <v>0</v>
      </c>
      <c r="AP43" s="14">
        <v>0</v>
      </c>
      <c r="AQ43" s="14">
        <v>0</v>
      </c>
      <c r="AR43" s="14">
        <v>0</v>
      </c>
      <c r="AS43" s="14">
        <v>0</v>
      </c>
      <c r="AT43" s="14">
        <v>0</v>
      </c>
      <c r="AU43" s="57">
        <v>27</v>
      </c>
      <c r="AV43" s="12" t="s">
        <v>85</v>
      </c>
      <c r="AW43" s="24">
        <f t="shared" si="41"/>
        <v>0</v>
      </c>
      <c r="AX43" s="14">
        <v>0</v>
      </c>
      <c r="AY43" s="14">
        <v>0</v>
      </c>
      <c r="AZ43" s="14">
        <v>0</v>
      </c>
      <c r="BA43" s="14">
        <v>0</v>
      </c>
      <c r="BB43" s="14">
        <v>0</v>
      </c>
      <c r="BC43" s="14">
        <v>0</v>
      </c>
      <c r="BD43" s="14">
        <v>0</v>
      </c>
      <c r="BE43" s="14">
        <v>0</v>
      </c>
      <c r="BF43" s="14">
        <v>0</v>
      </c>
      <c r="BG43" s="14">
        <v>0</v>
      </c>
      <c r="BH43" s="14">
        <v>0</v>
      </c>
      <c r="BI43" s="57">
        <v>27</v>
      </c>
      <c r="BJ43" s="12" t="s">
        <v>85</v>
      </c>
      <c r="BK43" s="24">
        <f t="shared" si="43"/>
        <v>0</v>
      </c>
      <c r="BL43" s="14">
        <v>0</v>
      </c>
      <c r="BM43" s="14">
        <v>0</v>
      </c>
      <c r="BN43" s="14">
        <v>0</v>
      </c>
      <c r="BO43" s="14">
        <v>0</v>
      </c>
      <c r="BP43" s="14">
        <v>0</v>
      </c>
      <c r="BQ43" s="14">
        <v>0</v>
      </c>
      <c r="BR43" s="14">
        <v>0</v>
      </c>
      <c r="BS43" s="14">
        <v>0</v>
      </c>
      <c r="BT43" s="14">
        <v>0</v>
      </c>
      <c r="BU43" s="14">
        <v>0</v>
      </c>
      <c r="BV43" s="14">
        <v>0</v>
      </c>
      <c r="BW43" s="57">
        <v>27</v>
      </c>
      <c r="BX43" s="12" t="s">
        <v>85</v>
      </c>
      <c r="BY43" s="24">
        <f t="shared" si="45"/>
        <v>0</v>
      </c>
      <c r="BZ43" s="14">
        <v>0</v>
      </c>
      <c r="CA43" s="14">
        <v>0</v>
      </c>
      <c r="CB43" s="14">
        <v>0</v>
      </c>
      <c r="CC43" s="14">
        <v>0</v>
      </c>
      <c r="CD43" s="14">
        <v>0</v>
      </c>
      <c r="CE43" s="14">
        <v>0</v>
      </c>
      <c r="CF43" s="14">
        <v>0</v>
      </c>
      <c r="CG43" s="14">
        <v>0</v>
      </c>
      <c r="CH43" s="14">
        <v>0</v>
      </c>
      <c r="CI43" s="14">
        <v>0</v>
      </c>
      <c r="CJ43" s="14">
        <v>0</v>
      </c>
      <c r="CK43" s="57">
        <v>27</v>
      </c>
      <c r="CL43" s="12" t="s">
        <v>85</v>
      </c>
      <c r="CM43" s="24">
        <f t="shared" si="55"/>
        <v>0</v>
      </c>
      <c r="CN43" s="14">
        <v>0</v>
      </c>
      <c r="CO43" s="14">
        <v>0</v>
      </c>
      <c r="CP43" s="14">
        <v>0</v>
      </c>
      <c r="CQ43" s="14">
        <v>0</v>
      </c>
      <c r="CR43" s="14">
        <v>0</v>
      </c>
      <c r="CS43" s="14">
        <v>0</v>
      </c>
      <c r="CT43" s="14">
        <v>0</v>
      </c>
      <c r="CU43" s="14">
        <v>0</v>
      </c>
      <c r="CV43" s="14">
        <v>0</v>
      </c>
      <c r="CW43" s="14">
        <v>0</v>
      </c>
      <c r="CX43" s="14">
        <v>0</v>
      </c>
      <c r="CY43" s="57">
        <v>27</v>
      </c>
      <c r="CZ43" s="12" t="s">
        <v>85</v>
      </c>
      <c r="DA43" s="24">
        <f t="shared" ref="DA43:DA45" si="73">SUM(DC43:DL43)</f>
        <v>0</v>
      </c>
      <c r="DB43" s="14">
        <v>0</v>
      </c>
      <c r="DC43" s="14">
        <v>0</v>
      </c>
      <c r="DD43" s="14">
        <v>0</v>
      </c>
      <c r="DE43" s="14">
        <v>0</v>
      </c>
      <c r="DF43" s="14">
        <v>0</v>
      </c>
      <c r="DG43" s="14">
        <v>0</v>
      </c>
      <c r="DH43" s="14">
        <v>0</v>
      </c>
      <c r="DI43" s="14">
        <v>0</v>
      </c>
      <c r="DJ43" s="14">
        <v>0</v>
      </c>
      <c r="DK43" s="14">
        <v>0</v>
      </c>
      <c r="DL43" s="14">
        <v>0</v>
      </c>
      <c r="DM43" s="57">
        <v>27</v>
      </c>
      <c r="DN43" s="12" t="s">
        <v>85</v>
      </c>
      <c r="DO43" s="24">
        <f t="shared" ref="DO43:DO45" si="74">SUM(DQ43:DZ43)</f>
        <v>116644</v>
      </c>
      <c r="DP43" s="14">
        <v>0</v>
      </c>
      <c r="DQ43" s="14">
        <v>80044</v>
      </c>
      <c r="DR43" s="14">
        <v>0</v>
      </c>
      <c r="DS43" s="14">
        <v>0</v>
      </c>
      <c r="DT43" s="14">
        <f>35200+1400</f>
        <v>36600</v>
      </c>
      <c r="DU43" s="14">
        <v>0</v>
      </c>
      <c r="DV43" s="14">
        <v>0</v>
      </c>
      <c r="DW43" s="14">
        <v>0</v>
      </c>
      <c r="DX43" s="14">
        <v>0</v>
      </c>
      <c r="DY43" s="14">
        <v>0</v>
      </c>
      <c r="DZ43" s="14">
        <v>0</v>
      </c>
      <c r="EA43" s="57">
        <v>27</v>
      </c>
      <c r="EB43" s="12" t="s">
        <v>85</v>
      </c>
      <c r="EC43" s="24">
        <f t="shared" ref="EC43:EC45" si="75">SUM(EE43:EN43)</f>
        <v>0</v>
      </c>
      <c r="ED43" s="14">
        <v>0</v>
      </c>
      <c r="EE43" s="14">
        <v>0</v>
      </c>
      <c r="EF43" s="14">
        <v>0</v>
      </c>
      <c r="EG43" s="14">
        <v>0</v>
      </c>
      <c r="EH43" s="14">
        <v>0</v>
      </c>
      <c r="EI43" s="14">
        <v>0</v>
      </c>
      <c r="EJ43" s="14">
        <v>0</v>
      </c>
      <c r="EK43" s="14">
        <v>0</v>
      </c>
      <c r="EL43" s="14">
        <v>0</v>
      </c>
      <c r="EM43" s="14">
        <v>0</v>
      </c>
      <c r="EN43" s="14">
        <v>0</v>
      </c>
      <c r="EO43" s="57">
        <v>27</v>
      </c>
      <c r="EP43" s="12" t="s">
        <v>85</v>
      </c>
      <c r="EQ43" s="24">
        <f t="shared" ref="EQ43:EQ45" si="76">SUM(ES43:FB43)</f>
        <v>0</v>
      </c>
      <c r="ER43" s="14">
        <v>0</v>
      </c>
      <c r="ES43" s="14">
        <v>0</v>
      </c>
      <c r="ET43" s="14">
        <v>0</v>
      </c>
      <c r="EU43" s="14">
        <v>0</v>
      </c>
      <c r="EV43" s="14">
        <v>0</v>
      </c>
      <c r="EW43" s="14">
        <v>0</v>
      </c>
      <c r="EX43" s="14">
        <v>0</v>
      </c>
      <c r="EY43" s="14">
        <v>0</v>
      </c>
      <c r="EZ43" s="14">
        <v>0</v>
      </c>
      <c r="FA43" s="14">
        <v>0</v>
      </c>
      <c r="FB43" s="14">
        <v>0</v>
      </c>
    </row>
    <row r="44" spans="1:158" s="19" customFormat="1" ht="12" customHeight="1" x14ac:dyDescent="0.2">
      <c r="A44" s="57">
        <v>23</v>
      </c>
      <c r="B44" s="12" t="s">
        <v>36</v>
      </c>
      <c r="C44" s="24">
        <f t="shared" si="22"/>
        <v>38035.61</v>
      </c>
      <c r="D44" s="14"/>
      <c r="E44" s="14">
        <f t="shared" si="23"/>
        <v>3940.3199999999997</v>
      </c>
      <c r="F44" s="14">
        <f t="shared" si="24"/>
        <v>15689.39</v>
      </c>
      <c r="G44" s="14">
        <f t="shared" si="25"/>
        <v>4466.5600000000004</v>
      </c>
      <c r="H44" s="14">
        <f t="shared" si="64"/>
        <v>2982.45</v>
      </c>
      <c r="I44" s="14">
        <f t="shared" si="64"/>
        <v>4672.01</v>
      </c>
      <c r="J44" s="14">
        <f t="shared" si="64"/>
        <v>1988.0300000000002</v>
      </c>
      <c r="K44" s="14">
        <f t="shared" si="64"/>
        <v>720.62000000000012</v>
      </c>
      <c r="L44" s="14">
        <f t="shared" si="64"/>
        <v>1487.06</v>
      </c>
      <c r="M44" s="14">
        <f t="shared" si="64"/>
        <v>2089.17</v>
      </c>
      <c r="N44" s="14">
        <f t="shared" si="64"/>
        <v>0</v>
      </c>
      <c r="O44" s="57">
        <v>28</v>
      </c>
      <c r="P44" s="12" t="s">
        <v>36</v>
      </c>
      <c r="Q44" s="24">
        <f>S44+T44</f>
        <v>0</v>
      </c>
      <c r="R44" s="14">
        <v>0</v>
      </c>
      <c r="S44" s="14">
        <v>0</v>
      </c>
      <c r="T44" s="14">
        <v>0</v>
      </c>
      <c r="U44" s="57">
        <v>28</v>
      </c>
      <c r="V44" s="12" t="s">
        <v>36</v>
      </c>
      <c r="W44" s="24">
        <f>Y44+Z44</f>
        <v>0</v>
      </c>
      <c r="X44" s="14">
        <v>0</v>
      </c>
      <c r="Y44" s="14">
        <v>0</v>
      </c>
      <c r="Z44" s="14">
        <v>0</v>
      </c>
      <c r="AA44" s="57">
        <v>28</v>
      </c>
      <c r="AB44" s="12" t="s">
        <v>36</v>
      </c>
      <c r="AC44" s="24">
        <f>AE44+AF44</f>
        <v>0</v>
      </c>
      <c r="AD44" s="14">
        <v>0</v>
      </c>
      <c r="AE44" s="14">
        <v>0</v>
      </c>
      <c r="AF44" s="14">
        <v>0</v>
      </c>
      <c r="AG44" s="57">
        <v>28</v>
      </c>
      <c r="AH44" s="12" t="s">
        <v>36</v>
      </c>
      <c r="AI44" s="24">
        <f t="shared" si="38"/>
        <v>4050</v>
      </c>
      <c r="AJ44" s="14">
        <v>0</v>
      </c>
      <c r="AK44" s="14">
        <v>1012.5</v>
      </c>
      <c r="AL44" s="14">
        <v>337.5</v>
      </c>
      <c r="AM44" s="14">
        <v>1012.5</v>
      </c>
      <c r="AN44" s="14">
        <v>675</v>
      </c>
      <c r="AO44" s="14">
        <v>1012.5</v>
      </c>
      <c r="AP44" s="14">
        <v>0</v>
      </c>
      <c r="AQ44" s="14">
        <v>0</v>
      </c>
      <c r="AR44" s="14">
        <v>0</v>
      </c>
      <c r="AS44" s="14">
        <v>0</v>
      </c>
      <c r="AT44" s="14">
        <v>0</v>
      </c>
      <c r="AU44" s="57">
        <v>28</v>
      </c>
      <c r="AV44" s="12" t="s">
        <v>36</v>
      </c>
      <c r="AW44" s="24">
        <f t="shared" si="41"/>
        <v>4050</v>
      </c>
      <c r="AX44" s="14">
        <v>0</v>
      </c>
      <c r="AY44" s="14">
        <v>1012.5</v>
      </c>
      <c r="AZ44" s="14">
        <v>337.5</v>
      </c>
      <c r="BA44" s="14">
        <v>1012.5</v>
      </c>
      <c r="BB44" s="14">
        <v>675</v>
      </c>
      <c r="BC44" s="14">
        <v>1012.5</v>
      </c>
      <c r="BD44" s="14">
        <v>0</v>
      </c>
      <c r="BE44" s="14">
        <v>0</v>
      </c>
      <c r="BF44" s="14">
        <v>0</v>
      </c>
      <c r="BG44" s="14">
        <v>0</v>
      </c>
      <c r="BH44" s="14">
        <v>0</v>
      </c>
      <c r="BI44" s="57">
        <v>28</v>
      </c>
      <c r="BJ44" s="12" t="s">
        <v>36</v>
      </c>
      <c r="BK44" s="24">
        <f t="shared" si="43"/>
        <v>2753.0199999999995</v>
      </c>
      <c r="BL44" s="14">
        <v>0</v>
      </c>
      <c r="BM44" s="14">
        <v>333.66</v>
      </c>
      <c r="BN44" s="14">
        <v>153.62</v>
      </c>
      <c r="BO44" s="14">
        <v>425.34</v>
      </c>
      <c r="BP44" s="14">
        <v>284.39</v>
      </c>
      <c r="BQ44" s="14">
        <v>461.13</v>
      </c>
      <c r="BR44" s="14">
        <v>346.33</v>
      </c>
      <c r="BS44" s="14">
        <v>125.54</v>
      </c>
      <c r="BT44" s="14">
        <v>259.06</v>
      </c>
      <c r="BU44" s="14">
        <v>363.95</v>
      </c>
      <c r="BV44" s="14">
        <v>0</v>
      </c>
      <c r="BW44" s="57">
        <v>28</v>
      </c>
      <c r="BX44" s="12" t="s">
        <v>36</v>
      </c>
      <c r="BY44" s="24">
        <f t="shared" si="45"/>
        <v>0</v>
      </c>
      <c r="BZ44" s="14">
        <v>0</v>
      </c>
      <c r="CA44" s="14">
        <v>0</v>
      </c>
      <c r="CB44" s="14">
        <v>0</v>
      </c>
      <c r="CC44" s="14">
        <v>0</v>
      </c>
      <c r="CD44" s="14">
        <v>0</v>
      </c>
      <c r="CE44" s="14">
        <v>0</v>
      </c>
      <c r="CF44" s="14">
        <v>0</v>
      </c>
      <c r="CG44" s="14">
        <v>0</v>
      </c>
      <c r="CH44" s="14">
        <v>0</v>
      </c>
      <c r="CI44" s="14">
        <v>0</v>
      </c>
      <c r="CJ44" s="14">
        <v>0</v>
      </c>
      <c r="CK44" s="57">
        <v>28</v>
      </c>
      <c r="CL44" s="12" t="s">
        <v>36</v>
      </c>
      <c r="CM44" s="24">
        <f t="shared" si="55"/>
        <v>6525.0099999999993</v>
      </c>
      <c r="CN44" s="14">
        <v>0</v>
      </c>
      <c r="CO44" s="14">
        <v>790.83</v>
      </c>
      <c r="CP44" s="14">
        <v>364.1</v>
      </c>
      <c r="CQ44" s="14">
        <v>1008.11</v>
      </c>
      <c r="CR44" s="14">
        <v>674.03</v>
      </c>
      <c r="CS44" s="14">
        <v>1092.94</v>
      </c>
      <c r="CT44" s="14">
        <v>820.85</v>
      </c>
      <c r="CU44" s="14">
        <v>297.54000000000002</v>
      </c>
      <c r="CV44" s="14">
        <v>614</v>
      </c>
      <c r="CW44" s="14">
        <v>862.61</v>
      </c>
      <c r="CX44" s="14">
        <v>0</v>
      </c>
      <c r="CY44" s="57">
        <v>28</v>
      </c>
      <c r="CZ44" s="12" t="s">
        <v>36</v>
      </c>
      <c r="DA44" s="24">
        <f t="shared" si="73"/>
        <v>0</v>
      </c>
      <c r="DB44" s="14">
        <v>0</v>
      </c>
      <c r="DC44" s="14">
        <v>0</v>
      </c>
      <c r="DD44" s="14">
        <v>0</v>
      </c>
      <c r="DE44" s="14">
        <v>0</v>
      </c>
      <c r="DF44" s="14">
        <v>0</v>
      </c>
      <c r="DG44" s="14">
        <v>0</v>
      </c>
      <c r="DH44" s="14">
        <v>0</v>
      </c>
      <c r="DI44" s="14">
        <v>0</v>
      </c>
      <c r="DJ44" s="14">
        <v>0</v>
      </c>
      <c r="DK44" s="14">
        <v>0</v>
      </c>
      <c r="DL44" s="14">
        <v>0</v>
      </c>
      <c r="DM44" s="57">
        <v>28</v>
      </c>
      <c r="DN44" s="12" t="s">
        <v>36</v>
      </c>
      <c r="DO44" s="24">
        <f t="shared" si="74"/>
        <v>0</v>
      </c>
      <c r="DP44" s="14">
        <v>0</v>
      </c>
      <c r="DQ44" s="14">
        <v>0</v>
      </c>
      <c r="DR44" s="14">
        <v>0</v>
      </c>
      <c r="DS44" s="14">
        <v>0</v>
      </c>
      <c r="DT44" s="14">
        <v>0</v>
      </c>
      <c r="DU44" s="14">
        <v>0</v>
      </c>
      <c r="DV44" s="14">
        <v>0</v>
      </c>
      <c r="DW44" s="14">
        <v>0</v>
      </c>
      <c r="DX44" s="14">
        <v>0</v>
      </c>
      <c r="DY44" s="14">
        <v>0</v>
      </c>
      <c r="DZ44" s="14">
        <v>0</v>
      </c>
      <c r="EA44" s="57">
        <v>28</v>
      </c>
      <c r="EB44" s="12" t="s">
        <v>104</v>
      </c>
      <c r="EC44" s="24">
        <f t="shared" si="75"/>
        <v>20657.579999999998</v>
      </c>
      <c r="ED44" s="14">
        <v>0</v>
      </c>
      <c r="EE44" s="14">
        <v>790.83</v>
      </c>
      <c r="EF44" s="14">
        <f>364.1+14132.57</f>
        <v>14496.67</v>
      </c>
      <c r="EG44" s="14">
        <v>1008.11</v>
      </c>
      <c r="EH44" s="14">
        <v>674.03</v>
      </c>
      <c r="EI44" s="14">
        <v>1092.94</v>
      </c>
      <c r="EJ44" s="14">
        <v>820.85</v>
      </c>
      <c r="EK44" s="14">
        <v>297.54000000000002</v>
      </c>
      <c r="EL44" s="14">
        <v>614</v>
      </c>
      <c r="EM44" s="14">
        <v>862.61</v>
      </c>
      <c r="EN44" s="14">
        <v>0</v>
      </c>
      <c r="EO44" s="57">
        <v>28</v>
      </c>
      <c r="EP44" s="12" t="s">
        <v>104</v>
      </c>
      <c r="EQ44" s="24">
        <f t="shared" si="76"/>
        <v>0</v>
      </c>
      <c r="ER44" s="14">
        <v>0</v>
      </c>
      <c r="ES44" s="14">
        <v>0</v>
      </c>
      <c r="ET44" s="14">
        <v>0</v>
      </c>
      <c r="EU44" s="14">
        <v>0</v>
      </c>
      <c r="EV44" s="14">
        <v>0</v>
      </c>
      <c r="EW44" s="14">
        <v>0</v>
      </c>
      <c r="EX44" s="14">
        <v>0</v>
      </c>
      <c r="EY44" s="14">
        <v>0</v>
      </c>
      <c r="EZ44" s="14">
        <v>0</v>
      </c>
      <c r="FA44" s="14">
        <v>0</v>
      </c>
      <c r="FB44" s="14">
        <v>0</v>
      </c>
    </row>
    <row r="45" spans="1:158" s="19" customFormat="1" ht="12" customHeight="1" x14ac:dyDescent="0.2">
      <c r="A45" s="57">
        <v>26</v>
      </c>
      <c r="B45" s="12" t="s">
        <v>37</v>
      </c>
      <c r="C45" s="24">
        <f t="shared" si="22"/>
        <v>24000</v>
      </c>
      <c r="D45" s="14"/>
      <c r="E45" s="14">
        <f t="shared" si="23"/>
        <v>0</v>
      </c>
      <c r="F45" s="14">
        <f t="shared" si="24"/>
        <v>16000</v>
      </c>
      <c r="G45" s="14">
        <f t="shared" si="25"/>
        <v>0</v>
      </c>
      <c r="H45" s="14">
        <f t="shared" si="64"/>
        <v>8000</v>
      </c>
      <c r="I45" s="14">
        <f t="shared" si="64"/>
        <v>0</v>
      </c>
      <c r="J45" s="14">
        <f t="shared" si="64"/>
        <v>0</v>
      </c>
      <c r="K45" s="14">
        <f t="shared" si="64"/>
        <v>0</v>
      </c>
      <c r="L45" s="14">
        <f t="shared" si="64"/>
        <v>0</v>
      </c>
      <c r="M45" s="14">
        <f t="shared" si="64"/>
        <v>0</v>
      </c>
      <c r="N45" s="14">
        <f t="shared" si="64"/>
        <v>0</v>
      </c>
      <c r="O45" s="57">
        <v>29</v>
      </c>
      <c r="P45" s="12" t="s">
        <v>37</v>
      </c>
      <c r="Q45" s="24">
        <f>S45+T45</f>
        <v>0</v>
      </c>
      <c r="R45" s="14">
        <v>0</v>
      </c>
      <c r="S45" s="14">
        <v>0</v>
      </c>
      <c r="T45" s="14">
        <v>0</v>
      </c>
      <c r="U45" s="57">
        <v>29</v>
      </c>
      <c r="V45" s="12" t="s">
        <v>37</v>
      </c>
      <c r="W45" s="24">
        <f>Y45+Z45</f>
        <v>0</v>
      </c>
      <c r="X45" s="14">
        <v>0</v>
      </c>
      <c r="Y45" s="14">
        <v>0</v>
      </c>
      <c r="Z45" s="14">
        <v>0</v>
      </c>
      <c r="AA45" s="57">
        <v>29</v>
      </c>
      <c r="AB45" s="12" t="s">
        <v>37</v>
      </c>
      <c r="AC45" s="24">
        <f>AE45+AF45</f>
        <v>0</v>
      </c>
      <c r="AD45" s="14">
        <v>0</v>
      </c>
      <c r="AE45" s="14">
        <v>0</v>
      </c>
      <c r="AF45" s="14">
        <v>0</v>
      </c>
      <c r="AG45" s="57">
        <v>29</v>
      </c>
      <c r="AH45" s="12" t="s">
        <v>37</v>
      </c>
      <c r="AI45" s="24">
        <f t="shared" si="38"/>
        <v>0</v>
      </c>
      <c r="AJ45" s="14">
        <v>0</v>
      </c>
      <c r="AK45" s="14">
        <v>0</v>
      </c>
      <c r="AL45" s="14">
        <v>0</v>
      </c>
      <c r="AM45" s="14">
        <v>0</v>
      </c>
      <c r="AN45" s="14">
        <v>0</v>
      </c>
      <c r="AO45" s="14">
        <v>0</v>
      </c>
      <c r="AP45" s="14">
        <v>0</v>
      </c>
      <c r="AQ45" s="14">
        <v>0</v>
      </c>
      <c r="AR45" s="14">
        <v>0</v>
      </c>
      <c r="AS45" s="14">
        <v>0</v>
      </c>
      <c r="AT45" s="14">
        <v>0</v>
      </c>
      <c r="AU45" s="57">
        <v>29</v>
      </c>
      <c r="AV45" s="12" t="s">
        <v>37</v>
      </c>
      <c r="AW45" s="24">
        <f t="shared" si="41"/>
        <v>0</v>
      </c>
      <c r="AX45" s="14">
        <v>0</v>
      </c>
      <c r="AY45" s="14">
        <v>0</v>
      </c>
      <c r="AZ45" s="14">
        <v>0</v>
      </c>
      <c r="BA45" s="14">
        <v>0</v>
      </c>
      <c r="BB45" s="14">
        <v>0</v>
      </c>
      <c r="BC45" s="14">
        <v>0</v>
      </c>
      <c r="BD45" s="14">
        <v>0</v>
      </c>
      <c r="BE45" s="14">
        <v>0</v>
      </c>
      <c r="BF45" s="14">
        <v>0</v>
      </c>
      <c r="BG45" s="14">
        <v>0</v>
      </c>
      <c r="BH45" s="14">
        <v>0</v>
      </c>
      <c r="BI45" s="57">
        <v>29</v>
      </c>
      <c r="BJ45" s="12" t="s">
        <v>37</v>
      </c>
      <c r="BK45" s="24">
        <f t="shared" si="43"/>
        <v>0</v>
      </c>
      <c r="BL45" s="14">
        <v>0</v>
      </c>
      <c r="BM45" s="14">
        <v>0</v>
      </c>
      <c r="BN45" s="14">
        <v>0</v>
      </c>
      <c r="BO45" s="14">
        <v>0</v>
      </c>
      <c r="BP45" s="14">
        <v>0</v>
      </c>
      <c r="BQ45" s="14">
        <v>0</v>
      </c>
      <c r="BR45" s="14">
        <v>0</v>
      </c>
      <c r="BS45" s="14">
        <v>0</v>
      </c>
      <c r="BT45" s="14">
        <v>0</v>
      </c>
      <c r="BU45" s="14">
        <v>0</v>
      </c>
      <c r="BV45" s="14">
        <v>0</v>
      </c>
      <c r="BW45" s="57">
        <v>29</v>
      </c>
      <c r="BX45" s="12" t="s">
        <v>37</v>
      </c>
      <c r="BY45" s="24">
        <f t="shared" si="45"/>
        <v>0</v>
      </c>
      <c r="BZ45" s="14">
        <v>0</v>
      </c>
      <c r="CA45" s="14">
        <v>0</v>
      </c>
      <c r="CB45" s="14">
        <v>0</v>
      </c>
      <c r="CC45" s="14">
        <v>0</v>
      </c>
      <c r="CD45" s="14">
        <v>0</v>
      </c>
      <c r="CE45" s="14">
        <v>0</v>
      </c>
      <c r="CF45" s="14">
        <v>0</v>
      </c>
      <c r="CG45" s="14">
        <v>0</v>
      </c>
      <c r="CH45" s="14">
        <v>0</v>
      </c>
      <c r="CI45" s="14">
        <v>0</v>
      </c>
      <c r="CJ45" s="14">
        <v>0</v>
      </c>
      <c r="CK45" s="57">
        <v>29</v>
      </c>
      <c r="CL45" s="12" t="s">
        <v>37</v>
      </c>
      <c r="CM45" s="24">
        <f t="shared" si="55"/>
        <v>0</v>
      </c>
      <c r="CN45" s="14">
        <v>0</v>
      </c>
      <c r="CO45" s="14">
        <v>0</v>
      </c>
      <c r="CP45" s="14">
        <v>0</v>
      </c>
      <c r="CQ45" s="14">
        <v>0</v>
      </c>
      <c r="CR45" s="14">
        <v>0</v>
      </c>
      <c r="CS45" s="14">
        <v>0</v>
      </c>
      <c r="CT45" s="14">
        <v>0</v>
      </c>
      <c r="CU45" s="14">
        <v>0</v>
      </c>
      <c r="CV45" s="14">
        <v>0</v>
      </c>
      <c r="CW45" s="14">
        <v>0</v>
      </c>
      <c r="CX45" s="14">
        <v>0</v>
      </c>
      <c r="CY45" s="57">
        <v>29</v>
      </c>
      <c r="CZ45" s="12" t="s">
        <v>37</v>
      </c>
      <c r="DA45" s="24">
        <f t="shared" si="73"/>
        <v>0</v>
      </c>
      <c r="DB45" s="14">
        <v>0</v>
      </c>
      <c r="DC45" s="14">
        <v>0</v>
      </c>
      <c r="DD45" s="14">
        <v>0</v>
      </c>
      <c r="DE45" s="14">
        <v>0</v>
      </c>
      <c r="DF45" s="14">
        <v>0</v>
      </c>
      <c r="DG45" s="14">
        <v>0</v>
      </c>
      <c r="DH45" s="14">
        <v>0</v>
      </c>
      <c r="DI45" s="14">
        <v>0</v>
      </c>
      <c r="DJ45" s="14">
        <v>0</v>
      </c>
      <c r="DK45" s="14">
        <v>0</v>
      </c>
      <c r="DL45" s="14">
        <v>0</v>
      </c>
      <c r="DM45" s="57">
        <v>29</v>
      </c>
      <c r="DN45" s="12" t="s">
        <v>37</v>
      </c>
      <c r="DO45" s="24">
        <f t="shared" si="74"/>
        <v>0</v>
      </c>
      <c r="DP45" s="14">
        <v>0</v>
      </c>
      <c r="DQ45" s="14">
        <v>0</v>
      </c>
      <c r="DR45" s="14">
        <v>0</v>
      </c>
      <c r="DS45" s="14">
        <v>0</v>
      </c>
      <c r="DT45" s="14">
        <v>0</v>
      </c>
      <c r="DU45" s="14">
        <v>0</v>
      </c>
      <c r="DV45" s="14">
        <v>0</v>
      </c>
      <c r="DW45" s="14">
        <v>0</v>
      </c>
      <c r="DX45" s="14">
        <v>0</v>
      </c>
      <c r="DY45" s="14">
        <v>0</v>
      </c>
      <c r="DZ45" s="14">
        <v>0</v>
      </c>
      <c r="EA45" s="57">
        <v>29</v>
      </c>
      <c r="EB45" s="12" t="s">
        <v>105</v>
      </c>
      <c r="EC45" s="24">
        <f t="shared" si="75"/>
        <v>16000</v>
      </c>
      <c r="ED45" s="14">
        <v>0</v>
      </c>
      <c r="EE45" s="14">
        <v>0</v>
      </c>
      <c r="EF45" s="14">
        <v>16000</v>
      </c>
      <c r="EG45" s="14">
        <v>0</v>
      </c>
      <c r="EH45" s="14">
        <v>0</v>
      </c>
      <c r="EI45" s="14">
        <v>0</v>
      </c>
      <c r="EJ45" s="14">
        <v>0</v>
      </c>
      <c r="EK45" s="14">
        <v>0</v>
      </c>
      <c r="EL45" s="14">
        <v>0</v>
      </c>
      <c r="EM45" s="14">
        <v>0</v>
      </c>
      <c r="EN45" s="14">
        <v>0</v>
      </c>
      <c r="EO45" s="57">
        <v>29</v>
      </c>
      <c r="EP45" s="12" t="s">
        <v>105</v>
      </c>
      <c r="EQ45" s="24">
        <f t="shared" si="76"/>
        <v>8000</v>
      </c>
      <c r="ER45" s="14">
        <v>0</v>
      </c>
      <c r="ES45" s="14">
        <v>0</v>
      </c>
      <c r="ET45" s="14">
        <v>0</v>
      </c>
      <c r="EU45" s="14">
        <v>0</v>
      </c>
      <c r="EV45" s="14">
        <v>8000</v>
      </c>
      <c r="EW45" s="14">
        <v>0</v>
      </c>
      <c r="EX45" s="14">
        <v>0</v>
      </c>
      <c r="EY45" s="14">
        <v>0</v>
      </c>
      <c r="EZ45" s="14">
        <v>0</v>
      </c>
      <c r="FA45" s="14">
        <v>0</v>
      </c>
      <c r="FB45" s="14">
        <v>0</v>
      </c>
    </row>
    <row r="46" spans="1:158" x14ac:dyDescent="0.2">
      <c r="A46" s="57">
        <v>27</v>
      </c>
      <c r="B46" s="50" t="s">
        <v>38</v>
      </c>
      <c r="C46" s="24">
        <f t="shared" si="22"/>
        <v>204311.3</v>
      </c>
      <c r="D46" s="34"/>
      <c r="E46" s="14">
        <f t="shared" si="23"/>
        <v>41912.79</v>
      </c>
      <c r="F46" s="14">
        <f t="shared" si="24"/>
        <v>8754.52</v>
      </c>
      <c r="G46" s="14">
        <f t="shared" si="25"/>
        <v>26492.660000000003</v>
      </c>
      <c r="H46" s="14">
        <f t="shared" si="64"/>
        <v>17882.11</v>
      </c>
      <c r="I46" s="14">
        <f t="shared" si="64"/>
        <v>28697.21</v>
      </c>
      <c r="J46" s="14">
        <f t="shared" si="64"/>
        <v>21555.83</v>
      </c>
      <c r="K46" s="14">
        <f t="shared" si="64"/>
        <v>7810.13</v>
      </c>
      <c r="L46" s="14">
        <f t="shared" si="64"/>
        <v>16127.879999999997</v>
      </c>
      <c r="M46" s="14">
        <f t="shared" si="64"/>
        <v>22660.649999999994</v>
      </c>
      <c r="N46" s="14">
        <f t="shared" si="64"/>
        <v>12417.519999999999</v>
      </c>
      <c r="O46" s="57">
        <v>30</v>
      </c>
      <c r="P46" s="50" t="s">
        <v>39</v>
      </c>
      <c r="Q46" s="24">
        <f>SUM(R46:T46)</f>
        <v>0</v>
      </c>
      <c r="R46" s="34"/>
      <c r="S46" s="14">
        <v>0</v>
      </c>
      <c r="T46" s="14">
        <v>0</v>
      </c>
      <c r="U46" s="57">
        <v>30</v>
      </c>
      <c r="V46" s="50" t="s">
        <v>39</v>
      </c>
      <c r="W46" s="24">
        <f>SUM(X46:Z46)</f>
        <v>0</v>
      </c>
      <c r="X46" s="34"/>
      <c r="Y46" s="14">
        <v>0</v>
      </c>
      <c r="Z46" s="14">
        <v>0</v>
      </c>
      <c r="AA46" s="57">
        <v>30</v>
      </c>
      <c r="AB46" s="50" t="s">
        <v>39</v>
      </c>
      <c r="AC46" s="24">
        <f>SUM(AD46:AF46)</f>
        <v>0</v>
      </c>
      <c r="AD46" s="34"/>
      <c r="AE46" s="14">
        <v>0</v>
      </c>
      <c r="AF46" s="14">
        <v>0</v>
      </c>
      <c r="AG46" s="57">
        <v>30</v>
      </c>
      <c r="AH46" s="50" t="s">
        <v>39</v>
      </c>
      <c r="AI46" s="24">
        <f t="shared" si="38"/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0</v>
      </c>
      <c r="AO46" s="14">
        <v>0</v>
      </c>
      <c r="AP46" s="14">
        <v>0</v>
      </c>
      <c r="AQ46" s="14">
        <v>0</v>
      </c>
      <c r="AR46" s="14">
        <v>0</v>
      </c>
      <c r="AS46" s="14">
        <v>0</v>
      </c>
      <c r="AT46" s="14">
        <v>0</v>
      </c>
      <c r="AU46" s="57">
        <v>30</v>
      </c>
      <c r="AV46" s="50" t="s">
        <v>39</v>
      </c>
      <c r="AW46" s="24">
        <f t="shared" si="41"/>
        <v>60304.82</v>
      </c>
      <c r="AX46" s="14">
        <v>0</v>
      </c>
      <c r="AY46" s="14">
        <v>15000</v>
      </c>
      <c r="AZ46" s="14">
        <f>1896.24</f>
        <v>1896.24</v>
      </c>
      <c r="BA46" s="14">
        <f>5249.39+2243.96</f>
        <v>7493.35</v>
      </c>
      <c r="BB46" s="14">
        <f>3508.2+1499</f>
        <v>5007.2</v>
      </c>
      <c r="BC46" s="14">
        <f>5688.72+2432.47</f>
        <v>8121.1900000000005</v>
      </c>
      <c r="BD46" s="14">
        <f>4270.58+1826.63</f>
        <v>6097.21</v>
      </c>
      <c r="BE46" s="14">
        <f>1547.36+661.75</f>
        <v>2209.1099999999997</v>
      </c>
      <c r="BF46" s="14">
        <f>3194.86+1365.09</f>
        <v>4559.95</v>
      </c>
      <c r="BG46" s="14">
        <f>4490.24+1918.93</f>
        <v>6409.17</v>
      </c>
      <c r="BH46" s="14">
        <f>2458.33+1053.07</f>
        <v>3511.3999999999996</v>
      </c>
      <c r="BI46" s="57">
        <v>30</v>
      </c>
      <c r="BJ46" s="50" t="s">
        <v>39</v>
      </c>
      <c r="BK46" s="24">
        <f t="shared" si="43"/>
        <v>48170.000000000007</v>
      </c>
      <c r="BL46" s="14">
        <v>0</v>
      </c>
      <c r="BM46" s="14">
        <f>1629.28+3813.93</f>
        <v>5443.21</v>
      </c>
      <c r="BN46" s="14">
        <f>749.76+1755.08</f>
        <v>2504.84</v>
      </c>
      <c r="BO46" s="14">
        <f>2077.7+4863.6</f>
        <v>6941.3</v>
      </c>
      <c r="BP46" s="14">
        <f>1388.5+3250.27</f>
        <v>4638.7700000000004</v>
      </c>
      <c r="BQ46" s="14">
        <f>2252.16+5271.99</f>
        <v>7524.15</v>
      </c>
      <c r="BR46" s="14">
        <f>1691.28+3959.06</f>
        <v>5650.34</v>
      </c>
      <c r="BS46" s="14">
        <f>612.78+1434.44</f>
        <v>2047.22</v>
      </c>
      <c r="BT46" s="14">
        <f>1265.94+2963.39</f>
        <v>4229.33</v>
      </c>
      <c r="BU46" s="14">
        <f>1777.79+4161.57</f>
        <v>5939.36</v>
      </c>
      <c r="BV46" s="14">
        <f>973.25+2278.23</f>
        <v>3251.48</v>
      </c>
      <c r="BW46" s="57">
        <v>30</v>
      </c>
      <c r="BX46" s="50" t="s">
        <v>39</v>
      </c>
      <c r="BY46" s="24">
        <f t="shared" si="45"/>
        <v>1187.1400000000003</v>
      </c>
      <c r="BZ46" s="14">
        <v>0</v>
      </c>
      <c r="CA46" s="14">
        <v>134.15</v>
      </c>
      <c r="CB46" s="14">
        <v>61.73</v>
      </c>
      <c r="CC46" s="14">
        <v>171.07</v>
      </c>
      <c r="CD46" s="14">
        <v>114.32</v>
      </c>
      <c r="CE46" s="14">
        <v>185.43</v>
      </c>
      <c r="CF46" s="14">
        <v>139.25</v>
      </c>
      <c r="CG46" s="14">
        <v>50.45</v>
      </c>
      <c r="CH46" s="14">
        <v>104.23</v>
      </c>
      <c r="CI46" s="14">
        <v>146.38</v>
      </c>
      <c r="CJ46" s="14">
        <v>80.13</v>
      </c>
      <c r="CK46" s="57">
        <v>30</v>
      </c>
      <c r="CL46" s="50" t="s">
        <v>39</v>
      </c>
      <c r="CM46" s="24">
        <f>SUM(CO46:CX46)</f>
        <v>16523.87</v>
      </c>
      <c r="CN46" s="14">
        <v>0</v>
      </c>
      <c r="CO46" s="14">
        <v>1867.2</v>
      </c>
      <c r="CP46" s="14">
        <v>859.24</v>
      </c>
      <c r="CQ46" s="14">
        <v>2381.09</v>
      </c>
      <c r="CR46" s="14">
        <v>1591.25</v>
      </c>
      <c r="CS46" s="14">
        <v>2581.0300000000002</v>
      </c>
      <c r="CT46" s="14">
        <v>1938.25</v>
      </c>
      <c r="CU46" s="14">
        <v>702.26</v>
      </c>
      <c r="CV46" s="14">
        <v>1450.8</v>
      </c>
      <c r="CW46" s="14">
        <v>2037.39</v>
      </c>
      <c r="CX46" s="14">
        <v>1115.3599999999999</v>
      </c>
      <c r="CY46" s="57">
        <v>30</v>
      </c>
      <c r="CZ46" s="50" t="s">
        <v>39</v>
      </c>
      <c r="DA46" s="24">
        <f>SUM(DC46:DL46)</f>
        <v>32101.47</v>
      </c>
      <c r="DB46" s="14">
        <v>0</v>
      </c>
      <c r="DC46" s="14">
        <f>7258.88+254.4</f>
        <v>7513.28</v>
      </c>
      <c r="DD46" s="14">
        <f>117.07+1326.11</f>
        <v>1443.1799999999998</v>
      </c>
      <c r="DE46" s="14">
        <f>324.42+3671.07</f>
        <v>3995.4900000000002</v>
      </c>
      <c r="DF46" s="14">
        <f>216.81+2453.41</f>
        <v>2670.22</v>
      </c>
      <c r="DG46" s="14">
        <f>351.66+3976.06</f>
        <v>4327.72</v>
      </c>
      <c r="DH46" s="14">
        <f>264.09+2986.56</f>
        <v>3250.65</v>
      </c>
      <c r="DI46" s="14">
        <f>95.68+1082.12</f>
        <v>1177.8</v>
      </c>
      <c r="DJ46" s="14">
        <f>197.67+2234.27</f>
        <v>2431.94</v>
      </c>
      <c r="DK46" s="14">
        <f>277.59+3140.18</f>
        <v>3417.77</v>
      </c>
      <c r="DL46" s="14">
        <f>151.97+1721.45</f>
        <v>1873.42</v>
      </c>
      <c r="DM46" s="57">
        <v>30</v>
      </c>
      <c r="DN46" s="50" t="s">
        <v>39</v>
      </c>
      <c r="DO46" s="24">
        <f>SUM(DQ46:DZ46)</f>
        <v>0</v>
      </c>
      <c r="DP46" s="14">
        <v>0</v>
      </c>
      <c r="DQ46" s="14">
        <v>0</v>
      </c>
      <c r="DR46" s="14">
        <v>0</v>
      </c>
      <c r="DS46" s="14">
        <v>0</v>
      </c>
      <c r="DT46" s="14">
        <v>0</v>
      </c>
      <c r="DU46" s="14">
        <v>0</v>
      </c>
      <c r="DV46" s="14">
        <v>0</v>
      </c>
      <c r="DW46" s="14">
        <v>0</v>
      </c>
      <c r="DX46" s="14">
        <v>0</v>
      </c>
      <c r="DY46" s="14">
        <v>0</v>
      </c>
      <c r="DZ46" s="14">
        <v>0</v>
      </c>
      <c r="EA46" s="57">
        <v>30</v>
      </c>
      <c r="EB46" s="50" t="s">
        <v>39</v>
      </c>
      <c r="EC46" s="24">
        <f>SUM(EE46:EN46)</f>
        <v>3116.37</v>
      </c>
      <c r="ED46" s="14">
        <v>0</v>
      </c>
      <c r="EE46" s="14">
        <v>3116.37</v>
      </c>
      <c r="EF46" s="14">
        <v>0</v>
      </c>
      <c r="EG46" s="14">
        <v>0</v>
      </c>
      <c r="EH46" s="14">
        <v>0</v>
      </c>
      <c r="EI46" s="14">
        <v>0</v>
      </c>
      <c r="EJ46" s="14">
        <v>0</v>
      </c>
      <c r="EK46" s="14">
        <v>0</v>
      </c>
      <c r="EL46" s="14">
        <v>0</v>
      </c>
      <c r="EM46" s="14">
        <v>0</v>
      </c>
      <c r="EN46" s="14">
        <v>0</v>
      </c>
      <c r="EO46" s="57">
        <v>30</v>
      </c>
      <c r="EP46" s="50" t="s">
        <v>39</v>
      </c>
      <c r="EQ46" s="24">
        <f>SUM(ES46:FB46)</f>
        <v>42907.630000000005</v>
      </c>
      <c r="ER46" s="14">
        <v>0</v>
      </c>
      <c r="ES46" s="14">
        <v>8838.58</v>
      </c>
      <c r="ET46" s="14">
        <v>1989.29</v>
      </c>
      <c r="EU46" s="14">
        <v>5510.36</v>
      </c>
      <c r="EV46" s="14">
        <v>3860.35</v>
      </c>
      <c r="EW46" s="14">
        <v>5957.69</v>
      </c>
      <c r="EX46" s="14">
        <v>4480.13</v>
      </c>
      <c r="EY46" s="14">
        <v>1623.29</v>
      </c>
      <c r="EZ46" s="14">
        <v>3351.63</v>
      </c>
      <c r="FA46" s="14">
        <f>4710.58</f>
        <v>4710.58</v>
      </c>
      <c r="FB46" s="14">
        <v>2585.73</v>
      </c>
    </row>
    <row r="47" spans="1:158" s="4" customFormat="1" ht="12" x14ac:dyDescent="0.2">
      <c r="A47" s="50"/>
      <c r="B47" s="67"/>
      <c r="C47" s="67"/>
      <c r="D47" s="50"/>
      <c r="E47" s="14">
        <f t="shared" si="23"/>
        <v>0</v>
      </c>
      <c r="F47" s="14">
        <f t="shared" si="24"/>
        <v>0</v>
      </c>
      <c r="G47" s="14">
        <f t="shared" si="25"/>
        <v>0</v>
      </c>
      <c r="H47" s="14">
        <f t="shared" si="64"/>
        <v>0</v>
      </c>
      <c r="I47" s="14">
        <f t="shared" si="64"/>
        <v>0</v>
      </c>
      <c r="J47" s="14">
        <f t="shared" si="64"/>
        <v>0</v>
      </c>
      <c r="K47" s="14">
        <f t="shared" si="64"/>
        <v>0</v>
      </c>
      <c r="L47" s="14">
        <f t="shared" si="64"/>
        <v>0</v>
      </c>
      <c r="M47" s="14">
        <f t="shared" si="64"/>
        <v>0</v>
      </c>
      <c r="N47" s="14">
        <f t="shared" si="64"/>
        <v>0</v>
      </c>
      <c r="O47" s="50"/>
      <c r="P47" s="50"/>
      <c r="Q47" s="24"/>
      <c r="R47" s="32"/>
      <c r="S47" s="14"/>
      <c r="T47" s="14"/>
      <c r="U47" s="50"/>
      <c r="V47" s="50"/>
      <c r="W47" s="24"/>
      <c r="X47" s="32"/>
      <c r="Y47" s="14"/>
      <c r="Z47" s="14"/>
      <c r="AA47" s="50"/>
      <c r="AB47" s="50"/>
      <c r="AC47" s="24"/>
      <c r="AD47" s="32"/>
      <c r="AE47" s="14"/>
      <c r="AF47" s="14"/>
      <c r="AG47" s="50"/>
      <c r="AH47" s="50"/>
      <c r="AI47" s="24"/>
      <c r="AJ47" s="14">
        <v>0</v>
      </c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50"/>
      <c r="AV47" s="50"/>
      <c r="AW47" s="59"/>
      <c r="AX47" s="14">
        <v>0</v>
      </c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50"/>
      <c r="BJ47" s="50"/>
      <c r="BK47" s="59"/>
      <c r="BL47" s="14">
        <v>0</v>
      </c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50"/>
      <c r="BX47" s="50"/>
      <c r="BY47" s="59"/>
      <c r="BZ47" s="14">
        <v>0</v>
      </c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50"/>
      <c r="CL47" s="50"/>
      <c r="CM47" s="64"/>
      <c r="CN47" s="14">
        <v>0</v>
      </c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50"/>
      <c r="CZ47" s="50"/>
      <c r="DA47" s="59"/>
      <c r="DB47" s="14">
        <v>0</v>
      </c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50"/>
      <c r="DN47" s="50"/>
      <c r="DO47" s="59"/>
      <c r="DP47" s="14">
        <v>0</v>
      </c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50"/>
      <c r="EB47" s="50"/>
      <c r="EC47" s="59"/>
      <c r="ED47" s="14">
        <v>0</v>
      </c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50"/>
      <c r="EP47" s="50"/>
      <c r="EQ47" s="59"/>
      <c r="ER47" s="14">
        <v>0</v>
      </c>
      <c r="ES47" s="14"/>
      <c r="ET47" s="14"/>
      <c r="EU47" s="14"/>
      <c r="EV47" s="14"/>
      <c r="EW47" s="14"/>
      <c r="EX47" s="14"/>
      <c r="EY47" s="14"/>
      <c r="EZ47" s="14"/>
      <c r="FA47" s="14"/>
      <c r="FB47" s="14"/>
    </row>
    <row r="48" spans="1:158" s="19" customFormat="1" ht="10.5" customHeight="1" x14ac:dyDescent="0.2">
      <c r="A48" s="57">
        <v>28</v>
      </c>
      <c r="B48" s="12" t="s">
        <v>53</v>
      </c>
      <c r="C48" s="24">
        <f>SUM(E48:N48)</f>
        <v>36040.700000000004</v>
      </c>
      <c r="D48" s="14"/>
      <c r="E48" s="14">
        <f t="shared" si="23"/>
        <v>29000</v>
      </c>
      <c r="F48" s="14">
        <f t="shared" si="24"/>
        <v>0</v>
      </c>
      <c r="G48" s="14">
        <f t="shared" si="25"/>
        <v>0</v>
      </c>
      <c r="H48" s="14">
        <f t="shared" si="64"/>
        <v>0</v>
      </c>
      <c r="I48" s="14">
        <f t="shared" si="64"/>
        <v>0</v>
      </c>
      <c r="J48" s="14">
        <f t="shared" si="64"/>
        <v>5167.76</v>
      </c>
      <c r="K48" s="14">
        <f t="shared" si="64"/>
        <v>1872.94</v>
      </c>
      <c r="L48" s="14">
        <f t="shared" si="64"/>
        <v>0</v>
      </c>
      <c r="M48" s="14">
        <f t="shared" si="64"/>
        <v>0</v>
      </c>
      <c r="N48" s="14">
        <f t="shared" si="64"/>
        <v>0</v>
      </c>
      <c r="O48" s="57">
        <v>31</v>
      </c>
      <c r="P48" s="12" t="s">
        <v>40</v>
      </c>
      <c r="Q48" s="24">
        <f>S48+T48</f>
        <v>0</v>
      </c>
      <c r="R48" s="14">
        <v>0</v>
      </c>
      <c r="S48" s="14">
        <v>0</v>
      </c>
      <c r="T48" s="14">
        <v>0</v>
      </c>
      <c r="U48" s="57">
        <v>31</v>
      </c>
      <c r="V48" s="12" t="s">
        <v>40</v>
      </c>
      <c r="W48" s="24">
        <f>Y48+Z48</f>
        <v>0</v>
      </c>
      <c r="X48" s="14">
        <v>0</v>
      </c>
      <c r="Y48" s="14">
        <v>0</v>
      </c>
      <c r="Z48" s="14">
        <v>0</v>
      </c>
      <c r="AA48" s="57">
        <v>31</v>
      </c>
      <c r="AB48" s="12" t="s">
        <v>40</v>
      </c>
      <c r="AC48" s="24">
        <f>AE48+AF48</f>
        <v>0</v>
      </c>
      <c r="AD48" s="14">
        <v>0</v>
      </c>
      <c r="AE48" s="14">
        <v>0</v>
      </c>
      <c r="AF48" s="14">
        <v>0</v>
      </c>
      <c r="AG48" s="57">
        <v>31</v>
      </c>
      <c r="AH48" s="12" t="s">
        <v>40</v>
      </c>
      <c r="AI48" s="24">
        <f t="shared" ref="AI48:AI53" si="77">SUM(AK48:AT48)</f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4">
        <v>0</v>
      </c>
      <c r="AP48" s="14">
        <v>0</v>
      </c>
      <c r="AQ48" s="14">
        <v>0</v>
      </c>
      <c r="AR48" s="14">
        <v>0</v>
      </c>
      <c r="AS48" s="14">
        <v>0</v>
      </c>
      <c r="AT48" s="14">
        <v>0</v>
      </c>
      <c r="AU48" s="57">
        <v>31</v>
      </c>
      <c r="AV48" s="12" t="s">
        <v>40</v>
      </c>
      <c r="AW48" s="24">
        <f t="shared" ref="AW48:AW53" si="78">SUM(AY48:BH48)</f>
        <v>0</v>
      </c>
      <c r="AX48" s="14">
        <v>0</v>
      </c>
      <c r="AY48" s="14">
        <v>0</v>
      </c>
      <c r="AZ48" s="14">
        <v>0</v>
      </c>
      <c r="BA48" s="14">
        <v>0</v>
      </c>
      <c r="BB48" s="14">
        <v>0</v>
      </c>
      <c r="BC48" s="14">
        <v>0</v>
      </c>
      <c r="BD48" s="14">
        <v>0</v>
      </c>
      <c r="BE48" s="14">
        <v>0</v>
      </c>
      <c r="BF48" s="14">
        <v>0</v>
      </c>
      <c r="BG48" s="14">
        <v>0</v>
      </c>
      <c r="BH48" s="14">
        <v>0</v>
      </c>
      <c r="BI48" s="57">
        <v>31</v>
      </c>
      <c r="BJ48" s="12" t="s">
        <v>40</v>
      </c>
      <c r="BK48" s="24">
        <f t="shared" ref="BK48:BK53" si="79">SUM(BM48:BV48)</f>
        <v>0</v>
      </c>
      <c r="BL48" s="14">
        <v>0</v>
      </c>
      <c r="BM48" s="14">
        <v>0</v>
      </c>
      <c r="BN48" s="14">
        <v>0</v>
      </c>
      <c r="BO48" s="14">
        <v>0</v>
      </c>
      <c r="BP48" s="14">
        <v>0</v>
      </c>
      <c r="BQ48" s="14">
        <v>0</v>
      </c>
      <c r="BR48" s="14">
        <v>0</v>
      </c>
      <c r="BS48" s="14">
        <v>0</v>
      </c>
      <c r="BT48" s="14">
        <v>0</v>
      </c>
      <c r="BU48" s="14">
        <v>0</v>
      </c>
      <c r="BV48" s="14">
        <v>0</v>
      </c>
      <c r="BW48" s="57">
        <v>31</v>
      </c>
      <c r="BX48" s="12" t="s">
        <v>40</v>
      </c>
      <c r="BY48" s="24">
        <f t="shared" ref="BY48:BY53" si="80">SUM(CA48:CJ48)</f>
        <v>0</v>
      </c>
      <c r="BZ48" s="14">
        <v>0</v>
      </c>
      <c r="CA48" s="14">
        <v>0</v>
      </c>
      <c r="CB48" s="14">
        <v>0</v>
      </c>
      <c r="CC48" s="14">
        <v>0</v>
      </c>
      <c r="CD48" s="14">
        <v>0</v>
      </c>
      <c r="CE48" s="14">
        <v>0</v>
      </c>
      <c r="CF48" s="14">
        <v>0</v>
      </c>
      <c r="CG48" s="14">
        <v>0</v>
      </c>
      <c r="CH48" s="14">
        <v>0</v>
      </c>
      <c r="CI48" s="14">
        <v>0</v>
      </c>
      <c r="CJ48" s="14">
        <v>0</v>
      </c>
      <c r="CK48" s="57">
        <v>31</v>
      </c>
      <c r="CL48" s="12" t="s">
        <v>40</v>
      </c>
      <c r="CM48" s="24">
        <f t="shared" ref="CM48:CM52" si="81">SUM(CO48:CX48)</f>
        <v>7040.7000000000007</v>
      </c>
      <c r="CN48" s="14">
        <v>0</v>
      </c>
      <c r="CO48" s="14">
        <v>0</v>
      </c>
      <c r="CP48" s="14">
        <v>0</v>
      </c>
      <c r="CQ48" s="14">
        <v>0</v>
      </c>
      <c r="CR48" s="14">
        <v>0</v>
      </c>
      <c r="CS48" s="14">
        <v>0</v>
      </c>
      <c r="CT48" s="14">
        <v>5167.76</v>
      </c>
      <c r="CU48" s="14">
        <f>1872.94</f>
        <v>1872.94</v>
      </c>
      <c r="CV48" s="14">
        <v>0</v>
      </c>
      <c r="CW48" s="14">
        <v>0</v>
      </c>
      <c r="CX48" s="14">
        <v>0</v>
      </c>
      <c r="CY48" s="57">
        <v>31</v>
      </c>
      <c r="CZ48" s="12" t="s">
        <v>40</v>
      </c>
      <c r="DA48" s="24">
        <f t="shared" ref="DA48:DA52" si="82">SUM(DC48:DL48)</f>
        <v>14500</v>
      </c>
      <c r="DB48" s="14">
        <v>0</v>
      </c>
      <c r="DC48" s="14">
        <v>14500</v>
      </c>
      <c r="DD48" s="14">
        <v>0</v>
      </c>
      <c r="DE48" s="14">
        <v>0</v>
      </c>
      <c r="DF48" s="14">
        <v>0</v>
      </c>
      <c r="DG48" s="14">
        <v>0</v>
      </c>
      <c r="DH48" s="14">
        <v>0</v>
      </c>
      <c r="DI48" s="14">
        <v>0</v>
      </c>
      <c r="DJ48" s="14">
        <v>0</v>
      </c>
      <c r="DK48" s="14">
        <v>0</v>
      </c>
      <c r="DL48" s="14">
        <v>0</v>
      </c>
      <c r="DM48" s="57">
        <v>31</v>
      </c>
      <c r="DN48" s="12" t="s">
        <v>40</v>
      </c>
      <c r="DO48" s="24">
        <f t="shared" ref="DO48:DO52" si="83">SUM(DQ48:DZ48)</f>
        <v>14500</v>
      </c>
      <c r="DP48" s="14">
        <v>0</v>
      </c>
      <c r="DQ48" s="14">
        <v>14500</v>
      </c>
      <c r="DR48" s="14">
        <v>0</v>
      </c>
      <c r="DS48" s="14">
        <v>0</v>
      </c>
      <c r="DT48" s="14">
        <v>0</v>
      </c>
      <c r="DU48" s="14">
        <v>0</v>
      </c>
      <c r="DV48" s="14">
        <v>0</v>
      </c>
      <c r="DW48" s="14">
        <v>0</v>
      </c>
      <c r="DX48" s="14">
        <v>0</v>
      </c>
      <c r="DY48" s="14">
        <v>0</v>
      </c>
      <c r="DZ48" s="14">
        <v>0</v>
      </c>
      <c r="EA48" s="57">
        <v>31</v>
      </c>
      <c r="EB48" s="12" t="s">
        <v>40</v>
      </c>
      <c r="EC48" s="24">
        <f t="shared" ref="EC48:EC52" si="84">SUM(EE48:EN48)</f>
        <v>0</v>
      </c>
      <c r="ED48" s="14">
        <v>0</v>
      </c>
      <c r="EE48" s="14">
        <v>0</v>
      </c>
      <c r="EF48" s="14">
        <v>0</v>
      </c>
      <c r="EG48" s="14">
        <v>0</v>
      </c>
      <c r="EH48" s="14">
        <v>0</v>
      </c>
      <c r="EI48" s="14">
        <v>0</v>
      </c>
      <c r="EJ48" s="14">
        <v>0</v>
      </c>
      <c r="EK48" s="14">
        <v>0</v>
      </c>
      <c r="EL48" s="14">
        <v>0</v>
      </c>
      <c r="EM48" s="14">
        <v>0</v>
      </c>
      <c r="EN48" s="14">
        <v>0</v>
      </c>
      <c r="EO48" s="57">
        <v>31</v>
      </c>
      <c r="EP48" s="12" t="s">
        <v>40</v>
      </c>
      <c r="EQ48" s="24">
        <f t="shared" ref="EQ48:EQ52" si="85">SUM(ES48:FB48)</f>
        <v>0</v>
      </c>
      <c r="ER48" s="14">
        <v>0</v>
      </c>
      <c r="ES48" s="14">
        <v>0</v>
      </c>
      <c r="ET48" s="14">
        <v>0</v>
      </c>
      <c r="EU48" s="14">
        <v>0</v>
      </c>
      <c r="EV48" s="14">
        <v>0</v>
      </c>
      <c r="EW48" s="14">
        <v>0</v>
      </c>
      <c r="EX48" s="14">
        <v>0</v>
      </c>
      <c r="EY48" s="14">
        <v>0</v>
      </c>
      <c r="EZ48" s="14">
        <v>0</v>
      </c>
      <c r="FA48" s="14">
        <v>0</v>
      </c>
      <c r="FB48" s="14">
        <v>0</v>
      </c>
    </row>
    <row r="49" spans="1:877" s="19" customFormat="1" ht="10.5" customHeight="1" x14ac:dyDescent="0.2">
      <c r="A49" s="57">
        <v>29</v>
      </c>
      <c r="B49" s="12" t="s">
        <v>41</v>
      </c>
      <c r="C49" s="24">
        <f t="shared" ref="C49:C53" si="86">SUM(E49:N49)</f>
        <v>7219.6</v>
      </c>
      <c r="D49" s="14"/>
      <c r="E49" s="14">
        <f t="shared" si="23"/>
        <v>0</v>
      </c>
      <c r="F49" s="14">
        <f t="shared" si="24"/>
        <v>0</v>
      </c>
      <c r="G49" s="14">
        <f t="shared" si="25"/>
        <v>0</v>
      </c>
      <c r="H49" s="14">
        <f t="shared" si="64"/>
        <v>3531.3</v>
      </c>
      <c r="I49" s="14">
        <f t="shared" si="64"/>
        <v>2853.3</v>
      </c>
      <c r="J49" s="14">
        <f t="shared" si="64"/>
        <v>0</v>
      </c>
      <c r="K49" s="14">
        <f t="shared" si="64"/>
        <v>0</v>
      </c>
      <c r="L49" s="14">
        <f t="shared" si="64"/>
        <v>347.15</v>
      </c>
      <c r="M49" s="14">
        <f t="shared" si="64"/>
        <v>487.85</v>
      </c>
      <c r="N49" s="14">
        <f t="shared" si="64"/>
        <v>0</v>
      </c>
      <c r="O49" s="57">
        <v>32</v>
      </c>
      <c r="P49" s="12" t="s">
        <v>41</v>
      </c>
      <c r="Q49" s="24">
        <f>S49+T49</f>
        <v>0</v>
      </c>
      <c r="R49" s="14">
        <v>0</v>
      </c>
      <c r="S49" s="14">
        <v>0</v>
      </c>
      <c r="T49" s="14">
        <v>0</v>
      </c>
      <c r="U49" s="57">
        <v>32</v>
      </c>
      <c r="V49" s="12" t="s">
        <v>41</v>
      </c>
      <c r="W49" s="24">
        <f>Y49+Z49</f>
        <v>0</v>
      </c>
      <c r="X49" s="14">
        <v>0</v>
      </c>
      <c r="Y49" s="14">
        <v>0</v>
      </c>
      <c r="Z49" s="14">
        <v>0</v>
      </c>
      <c r="AA49" s="57">
        <v>32</v>
      </c>
      <c r="AB49" s="12" t="s">
        <v>41</v>
      </c>
      <c r="AC49" s="24">
        <f>AE49+AF49</f>
        <v>0</v>
      </c>
      <c r="AD49" s="14">
        <v>0</v>
      </c>
      <c r="AE49" s="14">
        <v>0</v>
      </c>
      <c r="AF49" s="14">
        <v>0</v>
      </c>
      <c r="AG49" s="57">
        <v>32</v>
      </c>
      <c r="AH49" s="12" t="s">
        <v>41</v>
      </c>
      <c r="AI49" s="24">
        <f t="shared" si="77"/>
        <v>0</v>
      </c>
      <c r="AJ49" s="14">
        <v>0</v>
      </c>
      <c r="AK49" s="14">
        <v>0</v>
      </c>
      <c r="AL49" s="14">
        <v>0</v>
      </c>
      <c r="AM49" s="14">
        <v>0</v>
      </c>
      <c r="AN49" s="14">
        <v>0</v>
      </c>
      <c r="AO49" s="14">
        <v>0</v>
      </c>
      <c r="AP49" s="14">
        <v>0</v>
      </c>
      <c r="AQ49" s="14">
        <v>0</v>
      </c>
      <c r="AR49" s="14">
        <v>0</v>
      </c>
      <c r="AS49" s="14">
        <v>0</v>
      </c>
      <c r="AT49" s="14">
        <v>0</v>
      </c>
      <c r="AU49" s="57">
        <v>32</v>
      </c>
      <c r="AV49" s="12" t="s">
        <v>41</v>
      </c>
      <c r="AW49" s="24">
        <f t="shared" si="78"/>
        <v>0</v>
      </c>
      <c r="AX49" s="14">
        <v>0</v>
      </c>
      <c r="AY49" s="14">
        <v>0</v>
      </c>
      <c r="AZ49" s="14">
        <v>0</v>
      </c>
      <c r="BA49" s="14">
        <v>0</v>
      </c>
      <c r="BB49" s="14">
        <v>0</v>
      </c>
      <c r="BC49" s="14">
        <v>0</v>
      </c>
      <c r="BD49" s="14">
        <v>0</v>
      </c>
      <c r="BE49" s="14">
        <v>0</v>
      </c>
      <c r="BF49" s="14">
        <v>0</v>
      </c>
      <c r="BG49" s="14">
        <v>0</v>
      </c>
      <c r="BH49" s="14">
        <v>0</v>
      </c>
      <c r="BI49" s="57">
        <v>32</v>
      </c>
      <c r="BJ49" s="12" t="s">
        <v>41</v>
      </c>
      <c r="BK49" s="24">
        <f t="shared" si="79"/>
        <v>0</v>
      </c>
      <c r="BL49" s="14">
        <v>0</v>
      </c>
      <c r="BM49" s="14">
        <v>0</v>
      </c>
      <c r="BN49" s="14">
        <v>0</v>
      </c>
      <c r="BO49" s="14">
        <v>0</v>
      </c>
      <c r="BP49" s="14">
        <v>0</v>
      </c>
      <c r="BQ49" s="14">
        <v>0</v>
      </c>
      <c r="BR49" s="14">
        <v>0</v>
      </c>
      <c r="BS49" s="14">
        <v>0</v>
      </c>
      <c r="BT49" s="14">
        <v>0</v>
      </c>
      <c r="BU49" s="14">
        <v>0</v>
      </c>
      <c r="BV49" s="14">
        <v>0</v>
      </c>
      <c r="BW49" s="57">
        <v>32</v>
      </c>
      <c r="BX49" s="12" t="s">
        <v>41</v>
      </c>
      <c r="BY49" s="24">
        <f t="shared" si="80"/>
        <v>0</v>
      </c>
      <c r="BZ49" s="14">
        <v>0</v>
      </c>
      <c r="CA49" s="14">
        <v>0</v>
      </c>
      <c r="CB49" s="14">
        <v>0</v>
      </c>
      <c r="CC49" s="14">
        <v>0</v>
      </c>
      <c r="CD49" s="14">
        <v>0</v>
      </c>
      <c r="CE49" s="14">
        <v>0</v>
      </c>
      <c r="CF49" s="14">
        <v>0</v>
      </c>
      <c r="CG49" s="14">
        <v>0</v>
      </c>
      <c r="CH49" s="14">
        <v>0</v>
      </c>
      <c r="CI49" s="14">
        <v>0</v>
      </c>
      <c r="CJ49" s="14">
        <v>0</v>
      </c>
      <c r="CK49" s="57">
        <v>32</v>
      </c>
      <c r="CL49" s="12" t="s">
        <v>41</v>
      </c>
      <c r="CM49" s="24">
        <f t="shared" si="81"/>
        <v>7219.6</v>
      </c>
      <c r="CN49" s="14">
        <v>0</v>
      </c>
      <c r="CO49" s="14">
        <v>0</v>
      </c>
      <c r="CP49" s="14">
        <v>0</v>
      </c>
      <c r="CQ49" s="14">
        <v>0</v>
      </c>
      <c r="CR49" s="14">
        <f>2430+1101.3</f>
        <v>3531.3</v>
      </c>
      <c r="CS49" s="14">
        <f>1101.3+1752</f>
        <v>2853.3</v>
      </c>
      <c r="CT49" s="14">
        <v>0</v>
      </c>
      <c r="CU49" s="14">
        <v>0</v>
      </c>
      <c r="CV49" s="14">
        <v>347.15</v>
      </c>
      <c r="CW49" s="14">
        <v>487.85</v>
      </c>
      <c r="CX49" s="14">
        <v>0</v>
      </c>
      <c r="CY49" s="57">
        <v>32</v>
      </c>
      <c r="CZ49" s="12" t="s">
        <v>41</v>
      </c>
      <c r="DA49" s="24">
        <f t="shared" si="82"/>
        <v>0</v>
      </c>
      <c r="DB49" s="14">
        <v>0</v>
      </c>
      <c r="DC49" s="14">
        <v>0</v>
      </c>
      <c r="DD49" s="14">
        <v>0</v>
      </c>
      <c r="DE49" s="14">
        <v>0</v>
      </c>
      <c r="DF49" s="14">
        <v>0</v>
      </c>
      <c r="DG49" s="14">
        <v>0</v>
      </c>
      <c r="DH49" s="14">
        <v>0</v>
      </c>
      <c r="DI49" s="14">
        <v>0</v>
      </c>
      <c r="DJ49" s="14">
        <v>0</v>
      </c>
      <c r="DK49" s="14">
        <v>0</v>
      </c>
      <c r="DL49" s="14">
        <v>0</v>
      </c>
      <c r="DM49" s="57">
        <v>32</v>
      </c>
      <c r="DN49" s="12" t="s">
        <v>41</v>
      </c>
      <c r="DO49" s="24">
        <f t="shared" si="83"/>
        <v>0</v>
      </c>
      <c r="DP49" s="14">
        <v>0</v>
      </c>
      <c r="DQ49" s="14">
        <v>0</v>
      </c>
      <c r="DR49" s="14">
        <v>0</v>
      </c>
      <c r="DS49" s="14">
        <v>0</v>
      </c>
      <c r="DT49" s="14">
        <v>0</v>
      </c>
      <c r="DU49" s="14">
        <v>0</v>
      </c>
      <c r="DV49" s="14">
        <v>0</v>
      </c>
      <c r="DW49" s="14">
        <v>0</v>
      </c>
      <c r="DX49" s="14">
        <v>0</v>
      </c>
      <c r="DY49" s="14">
        <v>0</v>
      </c>
      <c r="DZ49" s="14">
        <v>0</v>
      </c>
      <c r="EA49" s="57">
        <v>32</v>
      </c>
      <c r="EB49" s="12" t="s">
        <v>41</v>
      </c>
      <c r="EC49" s="24">
        <f t="shared" si="84"/>
        <v>0</v>
      </c>
      <c r="ED49" s="14">
        <v>0</v>
      </c>
      <c r="EE49" s="14">
        <v>0</v>
      </c>
      <c r="EF49" s="14">
        <v>0</v>
      </c>
      <c r="EG49" s="14">
        <v>0</v>
      </c>
      <c r="EH49" s="14">
        <v>0</v>
      </c>
      <c r="EI49" s="14">
        <v>0</v>
      </c>
      <c r="EJ49" s="14">
        <v>0</v>
      </c>
      <c r="EK49" s="14">
        <v>0</v>
      </c>
      <c r="EL49" s="14">
        <v>0</v>
      </c>
      <c r="EM49" s="14">
        <v>0</v>
      </c>
      <c r="EN49" s="14">
        <v>0</v>
      </c>
      <c r="EO49" s="57">
        <v>32</v>
      </c>
      <c r="EP49" s="12" t="s">
        <v>41</v>
      </c>
      <c r="EQ49" s="24">
        <f t="shared" si="85"/>
        <v>0</v>
      </c>
      <c r="ER49" s="14">
        <v>0</v>
      </c>
      <c r="ES49" s="14">
        <v>0</v>
      </c>
      <c r="ET49" s="14">
        <v>0</v>
      </c>
      <c r="EU49" s="14">
        <v>0</v>
      </c>
      <c r="EV49" s="14">
        <v>0</v>
      </c>
      <c r="EW49" s="14">
        <v>0</v>
      </c>
      <c r="EX49" s="14">
        <v>0</v>
      </c>
      <c r="EY49" s="14">
        <v>0</v>
      </c>
      <c r="EZ49" s="14">
        <v>0</v>
      </c>
      <c r="FA49" s="14">
        <v>0</v>
      </c>
      <c r="FB49" s="14">
        <v>0</v>
      </c>
    </row>
    <row r="50" spans="1:877" s="4" customFormat="1" ht="10.5" customHeight="1" x14ac:dyDescent="0.2">
      <c r="A50" s="57">
        <v>30</v>
      </c>
      <c r="B50" s="12" t="s">
        <v>42</v>
      </c>
      <c r="C50" s="24">
        <f t="shared" si="86"/>
        <v>0</v>
      </c>
      <c r="D50" s="14"/>
      <c r="E50" s="14">
        <f t="shared" si="23"/>
        <v>0</v>
      </c>
      <c r="F50" s="14">
        <f t="shared" si="24"/>
        <v>0</v>
      </c>
      <c r="G50" s="14">
        <f t="shared" si="25"/>
        <v>0</v>
      </c>
      <c r="H50" s="14">
        <f t="shared" si="64"/>
        <v>0</v>
      </c>
      <c r="I50" s="14">
        <f t="shared" si="64"/>
        <v>0</v>
      </c>
      <c r="J50" s="14">
        <f t="shared" si="64"/>
        <v>0</v>
      </c>
      <c r="K50" s="14">
        <f t="shared" si="64"/>
        <v>0</v>
      </c>
      <c r="L50" s="14">
        <f t="shared" si="64"/>
        <v>0</v>
      </c>
      <c r="M50" s="14">
        <f t="shared" si="64"/>
        <v>0</v>
      </c>
      <c r="N50" s="14">
        <f t="shared" si="64"/>
        <v>0</v>
      </c>
      <c r="O50" s="57">
        <v>33</v>
      </c>
      <c r="P50" s="12" t="s">
        <v>42</v>
      </c>
      <c r="Q50" s="24">
        <f>S50+T50</f>
        <v>0</v>
      </c>
      <c r="R50" s="14">
        <v>0</v>
      </c>
      <c r="S50" s="14">
        <v>0</v>
      </c>
      <c r="T50" s="14">
        <v>0</v>
      </c>
      <c r="U50" s="57">
        <v>33</v>
      </c>
      <c r="V50" s="12" t="s">
        <v>42</v>
      </c>
      <c r="W50" s="24">
        <f>Y50+Z50</f>
        <v>0</v>
      </c>
      <c r="X50" s="14">
        <v>0</v>
      </c>
      <c r="Y50" s="14">
        <v>0</v>
      </c>
      <c r="Z50" s="14">
        <v>0</v>
      </c>
      <c r="AA50" s="57">
        <v>33</v>
      </c>
      <c r="AB50" s="12" t="s">
        <v>42</v>
      </c>
      <c r="AC50" s="24">
        <f>AE50+AF50</f>
        <v>0</v>
      </c>
      <c r="AD50" s="14">
        <v>0</v>
      </c>
      <c r="AE50" s="14">
        <v>0</v>
      </c>
      <c r="AF50" s="14">
        <v>0</v>
      </c>
      <c r="AG50" s="57">
        <v>33</v>
      </c>
      <c r="AH50" s="12" t="s">
        <v>42</v>
      </c>
      <c r="AI50" s="24">
        <f t="shared" si="77"/>
        <v>0</v>
      </c>
      <c r="AJ50" s="14">
        <v>0</v>
      </c>
      <c r="AK50" s="14">
        <v>0</v>
      </c>
      <c r="AL50" s="14">
        <v>0</v>
      </c>
      <c r="AM50" s="14">
        <v>0</v>
      </c>
      <c r="AN50" s="14">
        <v>0</v>
      </c>
      <c r="AO50" s="14">
        <v>0</v>
      </c>
      <c r="AP50" s="14">
        <v>0</v>
      </c>
      <c r="AQ50" s="14">
        <v>0</v>
      </c>
      <c r="AR50" s="14">
        <v>0</v>
      </c>
      <c r="AS50" s="14">
        <v>0</v>
      </c>
      <c r="AT50" s="14">
        <v>0</v>
      </c>
      <c r="AU50" s="57">
        <v>33</v>
      </c>
      <c r="AV50" s="12" t="s">
        <v>42</v>
      </c>
      <c r="AW50" s="24">
        <f t="shared" si="78"/>
        <v>0</v>
      </c>
      <c r="AX50" s="14">
        <v>0</v>
      </c>
      <c r="AY50" s="14">
        <v>0</v>
      </c>
      <c r="AZ50" s="14">
        <v>0</v>
      </c>
      <c r="BA50" s="14">
        <v>0</v>
      </c>
      <c r="BB50" s="14">
        <v>0</v>
      </c>
      <c r="BC50" s="14">
        <v>0</v>
      </c>
      <c r="BD50" s="14">
        <v>0</v>
      </c>
      <c r="BE50" s="14">
        <v>0</v>
      </c>
      <c r="BF50" s="14">
        <v>0</v>
      </c>
      <c r="BG50" s="14">
        <v>0</v>
      </c>
      <c r="BH50" s="14">
        <v>0</v>
      </c>
      <c r="BI50" s="57">
        <v>33</v>
      </c>
      <c r="BJ50" s="12" t="s">
        <v>42</v>
      </c>
      <c r="BK50" s="24">
        <f t="shared" si="79"/>
        <v>0</v>
      </c>
      <c r="BL50" s="14">
        <v>0</v>
      </c>
      <c r="BM50" s="14">
        <v>0</v>
      </c>
      <c r="BN50" s="14">
        <v>0</v>
      </c>
      <c r="BO50" s="14">
        <v>0</v>
      </c>
      <c r="BP50" s="14">
        <v>0</v>
      </c>
      <c r="BQ50" s="14">
        <v>0</v>
      </c>
      <c r="BR50" s="14">
        <v>0</v>
      </c>
      <c r="BS50" s="14">
        <v>0</v>
      </c>
      <c r="BT50" s="14">
        <v>0</v>
      </c>
      <c r="BU50" s="14">
        <v>0</v>
      </c>
      <c r="BV50" s="14">
        <v>0</v>
      </c>
      <c r="BW50" s="57">
        <v>33</v>
      </c>
      <c r="BX50" s="12" t="s">
        <v>42</v>
      </c>
      <c r="BY50" s="24">
        <f t="shared" si="80"/>
        <v>0</v>
      </c>
      <c r="BZ50" s="14">
        <v>0</v>
      </c>
      <c r="CA50" s="14">
        <v>0</v>
      </c>
      <c r="CB50" s="14">
        <v>0</v>
      </c>
      <c r="CC50" s="14">
        <v>0</v>
      </c>
      <c r="CD50" s="14">
        <v>0</v>
      </c>
      <c r="CE50" s="14">
        <v>0</v>
      </c>
      <c r="CF50" s="14">
        <v>0</v>
      </c>
      <c r="CG50" s="14">
        <v>0</v>
      </c>
      <c r="CH50" s="14">
        <v>0</v>
      </c>
      <c r="CI50" s="14">
        <v>0</v>
      </c>
      <c r="CJ50" s="14">
        <v>0</v>
      </c>
      <c r="CK50" s="57">
        <v>33</v>
      </c>
      <c r="CL50" s="12" t="s">
        <v>42</v>
      </c>
      <c r="CM50" s="24">
        <f t="shared" si="81"/>
        <v>0</v>
      </c>
      <c r="CN50" s="14">
        <v>0</v>
      </c>
      <c r="CO50" s="14">
        <v>0</v>
      </c>
      <c r="CP50" s="14">
        <v>0</v>
      </c>
      <c r="CQ50" s="14">
        <v>0</v>
      </c>
      <c r="CR50" s="14">
        <v>0</v>
      </c>
      <c r="CS50" s="14">
        <v>0</v>
      </c>
      <c r="CT50" s="14">
        <v>0</v>
      </c>
      <c r="CU50" s="14">
        <v>0</v>
      </c>
      <c r="CV50" s="14">
        <v>0</v>
      </c>
      <c r="CW50" s="14">
        <v>0</v>
      </c>
      <c r="CX50" s="14">
        <v>0</v>
      </c>
      <c r="CY50" s="57">
        <v>33</v>
      </c>
      <c r="CZ50" s="12" t="s">
        <v>42</v>
      </c>
      <c r="DA50" s="24">
        <f t="shared" si="82"/>
        <v>0</v>
      </c>
      <c r="DB50" s="14">
        <v>0</v>
      </c>
      <c r="DC50" s="14">
        <v>0</v>
      </c>
      <c r="DD50" s="14">
        <v>0</v>
      </c>
      <c r="DE50" s="14">
        <v>0</v>
      </c>
      <c r="DF50" s="14">
        <v>0</v>
      </c>
      <c r="DG50" s="14">
        <v>0</v>
      </c>
      <c r="DH50" s="14">
        <v>0</v>
      </c>
      <c r="DI50" s="14">
        <v>0</v>
      </c>
      <c r="DJ50" s="14">
        <v>0</v>
      </c>
      <c r="DK50" s="14">
        <v>0</v>
      </c>
      <c r="DL50" s="14">
        <v>0</v>
      </c>
      <c r="DM50" s="57">
        <v>33</v>
      </c>
      <c r="DN50" s="12" t="s">
        <v>42</v>
      </c>
      <c r="DO50" s="24">
        <f t="shared" si="83"/>
        <v>0</v>
      </c>
      <c r="DP50" s="14">
        <v>0</v>
      </c>
      <c r="DQ50" s="14">
        <v>0</v>
      </c>
      <c r="DR50" s="14">
        <v>0</v>
      </c>
      <c r="DS50" s="14">
        <v>0</v>
      </c>
      <c r="DT50" s="14">
        <v>0</v>
      </c>
      <c r="DU50" s="14">
        <v>0</v>
      </c>
      <c r="DV50" s="14">
        <v>0</v>
      </c>
      <c r="DW50" s="14">
        <v>0</v>
      </c>
      <c r="DX50" s="14">
        <v>0</v>
      </c>
      <c r="DY50" s="14">
        <v>0</v>
      </c>
      <c r="DZ50" s="14">
        <v>0</v>
      </c>
      <c r="EA50" s="57">
        <v>33</v>
      </c>
      <c r="EB50" s="12" t="s">
        <v>42</v>
      </c>
      <c r="EC50" s="24">
        <f t="shared" si="84"/>
        <v>0</v>
      </c>
      <c r="ED50" s="14">
        <v>0</v>
      </c>
      <c r="EE50" s="14">
        <v>0</v>
      </c>
      <c r="EF50" s="14">
        <v>0</v>
      </c>
      <c r="EG50" s="14">
        <v>0</v>
      </c>
      <c r="EH50" s="14">
        <v>0</v>
      </c>
      <c r="EI50" s="14">
        <v>0</v>
      </c>
      <c r="EJ50" s="14">
        <v>0</v>
      </c>
      <c r="EK50" s="14">
        <v>0</v>
      </c>
      <c r="EL50" s="14">
        <v>0</v>
      </c>
      <c r="EM50" s="14">
        <v>0</v>
      </c>
      <c r="EN50" s="14">
        <v>0</v>
      </c>
      <c r="EO50" s="57">
        <v>33</v>
      </c>
      <c r="EP50" s="12" t="s">
        <v>42</v>
      </c>
      <c r="EQ50" s="24">
        <f t="shared" si="85"/>
        <v>0</v>
      </c>
      <c r="ER50" s="14">
        <v>0</v>
      </c>
      <c r="ES50" s="14">
        <v>0</v>
      </c>
      <c r="ET50" s="14">
        <v>0</v>
      </c>
      <c r="EU50" s="14">
        <v>0</v>
      </c>
      <c r="EV50" s="14">
        <v>0</v>
      </c>
      <c r="EW50" s="14">
        <v>0</v>
      </c>
      <c r="EX50" s="14">
        <v>0</v>
      </c>
      <c r="EY50" s="14">
        <v>0</v>
      </c>
      <c r="EZ50" s="14">
        <v>0</v>
      </c>
      <c r="FA50" s="14">
        <v>0</v>
      </c>
      <c r="FB50" s="14">
        <v>0</v>
      </c>
    </row>
    <row r="51" spans="1:877" ht="10.5" customHeight="1" x14ac:dyDescent="0.2">
      <c r="A51" s="35">
        <v>31</v>
      </c>
      <c r="B51" s="50" t="s">
        <v>43</v>
      </c>
      <c r="C51" s="24">
        <f t="shared" si="86"/>
        <v>93082.840000000011</v>
      </c>
      <c r="D51" s="34"/>
      <c r="E51" s="14">
        <f t="shared" si="23"/>
        <v>13397.840000000004</v>
      </c>
      <c r="F51" s="14">
        <f t="shared" si="24"/>
        <v>6167.96</v>
      </c>
      <c r="G51" s="14">
        <f t="shared" si="25"/>
        <v>12687.199999999999</v>
      </c>
      <c r="H51" s="14">
        <f t="shared" si="64"/>
        <v>8478.64</v>
      </c>
      <c r="I51" s="14">
        <f t="shared" si="64"/>
        <v>13752.56</v>
      </c>
      <c r="J51" s="14">
        <f t="shared" si="64"/>
        <v>10327.6</v>
      </c>
      <c r="K51" s="14">
        <f t="shared" si="64"/>
        <v>3741.9199999999992</v>
      </c>
      <c r="L51" s="14">
        <f t="shared" si="64"/>
        <v>7730.32</v>
      </c>
      <c r="M51" s="14">
        <f t="shared" si="64"/>
        <v>10855.839999999998</v>
      </c>
      <c r="N51" s="14">
        <f t="shared" si="64"/>
        <v>5942.96</v>
      </c>
      <c r="O51" s="35">
        <v>34</v>
      </c>
      <c r="P51" s="50" t="s">
        <v>43</v>
      </c>
      <c r="Q51" s="24">
        <f>SUM(R51:T51)</f>
        <v>1019.26</v>
      </c>
      <c r="R51" s="34"/>
      <c r="S51" s="14">
        <v>697.68</v>
      </c>
      <c r="T51" s="14">
        <v>321.58</v>
      </c>
      <c r="U51" s="35">
        <v>34</v>
      </c>
      <c r="V51" s="50" t="s">
        <v>43</v>
      </c>
      <c r="W51" s="24">
        <f>SUM(X51:Z51)</f>
        <v>1019.26</v>
      </c>
      <c r="X51" s="34"/>
      <c r="Y51" s="14">
        <v>697.68</v>
      </c>
      <c r="Z51" s="14">
        <v>321.58</v>
      </c>
      <c r="AA51" s="35">
        <v>34</v>
      </c>
      <c r="AB51" s="50" t="s">
        <v>43</v>
      </c>
      <c r="AC51" s="24">
        <f>SUM(AD51:AF51)</f>
        <v>1019.26</v>
      </c>
      <c r="AD51" s="34"/>
      <c r="AE51" s="14">
        <v>697.68</v>
      </c>
      <c r="AF51" s="14">
        <v>321.58</v>
      </c>
      <c r="AG51" s="35">
        <v>34</v>
      </c>
      <c r="AH51" s="50" t="s">
        <v>43</v>
      </c>
      <c r="AI51" s="24">
        <f t="shared" si="77"/>
        <v>1980.6599999999999</v>
      </c>
      <c r="AJ51" s="14">
        <v>0</v>
      </c>
      <c r="AK51" s="14">
        <v>1355.76</v>
      </c>
      <c r="AL51" s="14">
        <v>624.9</v>
      </c>
      <c r="AM51" s="14">
        <v>0</v>
      </c>
      <c r="AN51" s="14">
        <v>0</v>
      </c>
      <c r="AO51" s="14">
        <v>0</v>
      </c>
      <c r="AP51" s="14">
        <v>0</v>
      </c>
      <c r="AQ51" s="14">
        <v>0</v>
      </c>
      <c r="AR51" s="14">
        <v>0</v>
      </c>
      <c r="AS51" s="14">
        <v>0</v>
      </c>
      <c r="AT51" s="14">
        <v>0</v>
      </c>
      <c r="AU51" s="35">
        <v>34</v>
      </c>
      <c r="AV51" s="50" t="s">
        <v>43</v>
      </c>
      <c r="AW51" s="24">
        <f t="shared" si="78"/>
        <v>11005.55</v>
      </c>
      <c r="AX51" s="14">
        <v>0</v>
      </c>
      <c r="AY51" s="14">
        <v>1243.6300000000001</v>
      </c>
      <c r="AZ51" s="14">
        <v>572.29</v>
      </c>
      <c r="BA51" s="14">
        <v>1585.9</v>
      </c>
      <c r="BB51" s="14">
        <v>1059.83</v>
      </c>
      <c r="BC51" s="14">
        <v>1719.07</v>
      </c>
      <c r="BD51" s="14">
        <v>1290.95</v>
      </c>
      <c r="BE51" s="14">
        <v>467.74</v>
      </c>
      <c r="BF51" s="14">
        <v>966.29</v>
      </c>
      <c r="BG51" s="14">
        <v>1356.98</v>
      </c>
      <c r="BH51" s="14">
        <v>742.87</v>
      </c>
      <c r="BI51" s="35">
        <v>34</v>
      </c>
      <c r="BJ51" s="50" t="s">
        <v>43</v>
      </c>
      <c r="BK51" s="24">
        <f t="shared" si="79"/>
        <v>11005.55</v>
      </c>
      <c r="BL51" s="14">
        <v>0</v>
      </c>
      <c r="BM51" s="14">
        <v>1243.6300000000001</v>
      </c>
      <c r="BN51" s="14">
        <v>572.29</v>
      </c>
      <c r="BO51" s="14">
        <v>1585.9</v>
      </c>
      <c r="BP51" s="14">
        <v>1059.83</v>
      </c>
      <c r="BQ51" s="14">
        <v>1719.07</v>
      </c>
      <c r="BR51" s="14">
        <v>1290.95</v>
      </c>
      <c r="BS51" s="14">
        <v>467.74</v>
      </c>
      <c r="BT51" s="14">
        <v>966.29</v>
      </c>
      <c r="BU51" s="14">
        <v>1356.98</v>
      </c>
      <c r="BV51" s="14">
        <v>742.87</v>
      </c>
      <c r="BW51" s="35">
        <v>34</v>
      </c>
      <c r="BX51" s="50" t="s">
        <v>43</v>
      </c>
      <c r="BY51" s="24">
        <f t="shared" si="80"/>
        <v>11005.55</v>
      </c>
      <c r="BZ51" s="14">
        <v>0</v>
      </c>
      <c r="CA51" s="14">
        <v>1243.6300000000001</v>
      </c>
      <c r="CB51" s="14">
        <v>572.29</v>
      </c>
      <c r="CC51" s="14">
        <v>1585.9</v>
      </c>
      <c r="CD51" s="14">
        <v>1059.83</v>
      </c>
      <c r="CE51" s="14">
        <v>1719.07</v>
      </c>
      <c r="CF51" s="14">
        <v>1290.95</v>
      </c>
      <c r="CG51" s="14">
        <v>467.74</v>
      </c>
      <c r="CH51" s="14">
        <v>966.29</v>
      </c>
      <c r="CI51" s="14">
        <v>1356.98</v>
      </c>
      <c r="CJ51" s="14">
        <v>742.87</v>
      </c>
      <c r="CK51" s="35">
        <v>34</v>
      </c>
      <c r="CL51" s="50" t="s">
        <v>43</v>
      </c>
      <c r="CM51" s="24">
        <f t="shared" si="81"/>
        <v>11005.55</v>
      </c>
      <c r="CN51" s="14">
        <v>0</v>
      </c>
      <c r="CO51" s="14">
        <v>1243.6300000000001</v>
      </c>
      <c r="CP51" s="14">
        <v>572.29</v>
      </c>
      <c r="CQ51" s="14">
        <v>1585.9</v>
      </c>
      <c r="CR51" s="14">
        <v>1059.83</v>
      </c>
      <c r="CS51" s="14">
        <v>1719.07</v>
      </c>
      <c r="CT51" s="14">
        <v>1290.95</v>
      </c>
      <c r="CU51" s="14">
        <v>467.74</v>
      </c>
      <c r="CV51" s="14">
        <v>966.29</v>
      </c>
      <c r="CW51" s="14">
        <v>1356.98</v>
      </c>
      <c r="CX51" s="14">
        <v>742.87</v>
      </c>
      <c r="CY51" s="35">
        <v>34</v>
      </c>
      <c r="CZ51" s="50" t="s">
        <v>43</v>
      </c>
      <c r="DA51" s="24">
        <f t="shared" si="82"/>
        <v>11005.55</v>
      </c>
      <c r="DB51" s="14">
        <v>0</v>
      </c>
      <c r="DC51" s="14">
        <v>1243.6300000000001</v>
      </c>
      <c r="DD51" s="14">
        <v>572.29</v>
      </c>
      <c r="DE51" s="14">
        <v>1585.9</v>
      </c>
      <c r="DF51" s="14">
        <v>1059.83</v>
      </c>
      <c r="DG51" s="14">
        <v>1719.07</v>
      </c>
      <c r="DH51" s="14">
        <v>1290.95</v>
      </c>
      <c r="DI51" s="14">
        <v>467.74</v>
      </c>
      <c r="DJ51" s="14">
        <v>966.29</v>
      </c>
      <c r="DK51" s="14">
        <v>1356.98</v>
      </c>
      <c r="DL51" s="14">
        <v>742.87</v>
      </c>
      <c r="DM51" s="35">
        <v>34</v>
      </c>
      <c r="DN51" s="50" t="s">
        <v>43</v>
      </c>
      <c r="DO51" s="24">
        <f t="shared" si="83"/>
        <v>11005.55</v>
      </c>
      <c r="DP51" s="14">
        <v>0</v>
      </c>
      <c r="DQ51" s="14">
        <v>1243.6300000000001</v>
      </c>
      <c r="DR51" s="14">
        <v>572.29</v>
      </c>
      <c r="DS51" s="14">
        <v>1585.9</v>
      </c>
      <c r="DT51" s="14">
        <v>1059.83</v>
      </c>
      <c r="DU51" s="14">
        <v>1719.07</v>
      </c>
      <c r="DV51" s="14">
        <v>1290.95</v>
      </c>
      <c r="DW51" s="14">
        <v>467.74</v>
      </c>
      <c r="DX51" s="14">
        <v>966.29</v>
      </c>
      <c r="DY51" s="14">
        <v>1356.98</v>
      </c>
      <c r="DZ51" s="14">
        <v>742.87</v>
      </c>
      <c r="EA51" s="35">
        <v>34</v>
      </c>
      <c r="EB51" s="50" t="s">
        <v>43</v>
      </c>
      <c r="EC51" s="24">
        <f t="shared" si="84"/>
        <v>11005.55</v>
      </c>
      <c r="ED51" s="14">
        <v>0</v>
      </c>
      <c r="EE51" s="14">
        <v>1243.6300000000001</v>
      </c>
      <c r="EF51" s="14">
        <v>572.29</v>
      </c>
      <c r="EG51" s="14">
        <v>1585.9</v>
      </c>
      <c r="EH51" s="14">
        <v>1059.83</v>
      </c>
      <c r="EI51" s="14">
        <v>1719.07</v>
      </c>
      <c r="EJ51" s="14">
        <v>1290.95</v>
      </c>
      <c r="EK51" s="14">
        <v>467.74</v>
      </c>
      <c r="EL51" s="14">
        <v>966.29</v>
      </c>
      <c r="EM51" s="14">
        <v>1356.98</v>
      </c>
      <c r="EN51" s="14">
        <v>742.87</v>
      </c>
      <c r="EO51" s="35">
        <v>34</v>
      </c>
      <c r="EP51" s="50" t="s">
        <v>43</v>
      </c>
      <c r="EQ51" s="24">
        <f t="shared" si="85"/>
        <v>11005.55</v>
      </c>
      <c r="ER51" s="14">
        <v>0</v>
      </c>
      <c r="ES51" s="14">
        <v>1243.6300000000001</v>
      </c>
      <c r="ET51" s="14">
        <v>572.29</v>
      </c>
      <c r="EU51" s="14">
        <v>1585.9</v>
      </c>
      <c r="EV51" s="14">
        <v>1059.83</v>
      </c>
      <c r="EW51" s="14">
        <v>1719.07</v>
      </c>
      <c r="EX51" s="14">
        <v>1290.95</v>
      </c>
      <c r="EY51" s="14">
        <v>467.74</v>
      </c>
      <c r="EZ51" s="14">
        <v>966.29</v>
      </c>
      <c r="FA51" s="14">
        <v>1356.98</v>
      </c>
      <c r="FB51" s="14">
        <v>742.87</v>
      </c>
    </row>
    <row r="52" spans="1:877" ht="10.5" customHeight="1" x14ac:dyDescent="0.2">
      <c r="A52" s="35">
        <v>32</v>
      </c>
      <c r="B52" s="32" t="s">
        <v>44</v>
      </c>
      <c r="C52" s="24">
        <f t="shared" si="86"/>
        <v>26666.38</v>
      </c>
      <c r="D52" s="34"/>
      <c r="E52" s="14">
        <f t="shared" si="23"/>
        <v>0</v>
      </c>
      <c r="F52" s="14">
        <f t="shared" si="24"/>
        <v>0</v>
      </c>
      <c r="G52" s="14">
        <f t="shared" si="25"/>
        <v>5714.31</v>
      </c>
      <c r="H52" s="14">
        <f t="shared" si="64"/>
        <v>3809.14</v>
      </c>
      <c r="I52" s="14">
        <f t="shared" si="64"/>
        <v>0</v>
      </c>
      <c r="J52" s="14">
        <f t="shared" si="64"/>
        <v>5714.31</v>
      </c>
      <c r="K52" s="14">
        <f t="shared" si="64"/>
        <v>1905.17</v>
      </c>
      <c r="L52" s="14">
        <f t="shared" si="64"/>
        <v>3809.14</v>
      </c>
      <c r="M52" s="14">
        <f t="shared" si="64"/>
        <v>5714.31</v>
      </c>
      <c r="N52" s="14">
        <f t="shared" si="64"/>
        <v>0</v>
      </c>
      <c r="O52" s="35">
        <v>35</v>
      </c>
      <c r="P52" s="50" t="s">
        <v>44</v>
      </c>
      <c r="Q52" s="24">
        <f>S52+T52</f>
        <v>0</v>
      </c>
      <c r="R52" s="35">
        <v>0</v>
      </c>
      <c r="S52" s="14">
        <v>0</v>
      </c>
      <c r="T52" s="14">
        <v>0</v>
      </c>
      <c r="U52" s="35">
        <v>35</v>
      </c>
      <c r="V52" s="50" t="s">
        <v>44</v>
      </c>
      <c r="W52" s="24">
        <f>Y52+Z52</f>
        <v>0</v>
      </c>
      <c r="X52" s="35">
        <v>0</v>
      </c>
      <c r="Y52" s="14">
        <v>0</v>
      </c>
      <c r="Z52" s="14">
        <v>0</v>
      </c>
      <c r="AA52" s="35">
        <v>35</v>
      </c>
      <c r="AB52" s="50" t="s">
        <v>44</v>
      </c>
      <c r="AC52" s="24">
        <f>AE52+AF52</f>
        <v>0</v>
      </c>
      <c r="AD52" s="35">
        <v>0</v>
      </c>
      <c r="AE52" s="14">
        <v>0</v>
      </c>
      <c r="AF52" s="14">
        <v>0</v>
      </c>
      <c r="AG52" s="35">
        <v>35</v>
      </c>
      <c r="AH52" s="50" t="s">
        <v>44</v>
      </c>
      <c r="AI52" s="24">
        <f t="shared" si="77"/>
        <v>0</v>
      </c>
      <c r="AJ52" s="14">
        <v>0</v>
      </c>
      <c r="AK52" s="14">
        <v>0</v>
      </c>
      <c r="AL52" s="14">
        <v>0</v>
      </c>
      <c r="AM52" s="14">
        <v>0</v>
      </c>
      <c r="AN52" s="14">
        <v>0</v>
      </c>
      <c r="AO52" s="14">
        <v>0</v>
      </c>
      <c r="AP52" s="14">
        <v>0</v>
      </c>
      <c r="AQ52" s="14">
        <v>0</v>
      </c>
      <c r="AR52" s="14">
        <v>0</v>
      </c>
      <c r="AS52" s="14">
        <v>0</v>
      </c>
      <c r="AT52" s="14">
        <v>0</v>
      </c>
      <c r="AU52" s="35">
        <v>35</v>
      </c>
      <c r="AV52" s="50" t="s">
        <v>44</v>
      </c>
      <c r="AW52" s="24">
        <f t="shared" si="78"/>
        <v>0</v>
      </c>
      <c r="AX52" s="14">
        <v>0</v>
      </c>
      <c r="AY52" s="14">
        <v>0</v>
      </c>
      <c r="AZ52" s="14">
        <v>0</v>
      </c>
      <c r="BA52" s="14">
        <v>0</v>
      </c>
      <c r="BB52" s="14">
        <v>0</v>
      </c>
      <c r="BC52" s="14">
        <v>0</v>
      </c>
      <c r="BD52" s="14">
        <v>0</v>
      </c>
      <c r="BE52" s="14">
        <v>0</v>
      </c>
      <c r="BF52" s="14">
        <v>0</v>
      </c>
      <c r="BG52" s="14">
        <v>0</v>
      </c>
      <c r="BH52" s="14">
        <v>0</v>
      </c>
      <c r="BI52" s="35">
        <v>35</v>
      </c>
      <c r="BJ52" s="50" t="s">
        <v>44</v>
      </c>
      <c r="BK52" s="24">
        <f t="shared" si="79"/>
        <v>0</v>
      </c>
      <c r="BL52" s="14">
        <v>0</v>
      </c>
      <c r="BM52" s="14">
        <v>0</v>
      </c>
      <c r="BN52" s="14">
        <v>0</v>
      </c>
      <c r="BO52" s="14">
        <v>0</v>
      </c>
      <c r="BP52" s="14">
        <v>0</v>
      </c>
      <c r="BQ52" s="14">
        <v>0</v>
      </c>
      <c r="BR52" s="14">
        <v>0</v>
      </c>
      <c r="BS52" s="14">
        <v>0</v>
      </c>
      <c r="BT52" s="14">
        <v>0</v>
      </c>
      <c r="BU52" s="14">
        <v>0</v>
      </c>
      <c r="BV52" s="14">
        <v>0</v>
      </c>
      <c r="BW52" s="35">
        <v>35</v>
      </c>
      <c r="BX52" s="50" t="s">
        <v>44</v>
      </c>
      <c r="BY52" s="24">
        <f t="shared" si="80"/>
        <v>0</v>
      </c>
      <c r="BZ52" s="14">
        <v>0</v>
      </c>
      <c r="CA52" s="14">
        <v>0</v>
      </c>
      <c r="CB52" s="14">
        <v>0</v>
      </c>
      <c r="CC52" s="14">
        <v>0</v>
      </c>
      <c r="CD52" s="14">
        <v>0</v>
      </c>
      <c r="CE52" s="14">
        <v>0</v>
      </c>
      <c r="CF52" s="14">
        <v>0</v>
      </c>
      <c r="CG52" s="14">
        <v>0</v>
      </c>
      <c r="CH52" s="14">
        <v>0</v>
      </c>
      <c r="CI52" s="14">
        <v>0</v>
      </c>
      <c r="CJ52" s="14">
        <v>0</v>
      </c>
      <c r="CK52" s="35">
        <v>35</v>
      </c>
      <c r="CL52" s="50" t="s">
        <v>44</v>
      </c>
      <c r="CM52" s="24">
        <f t="shared" si="81"/>
        <v>0</v>
      </c>
      <c r="CN52" s="14">
        <v>0</v>
      </c>
      <c r="CO52" s="14">
        <v>0</v>
      </c>
      <c r="CP52" s="14">
        <v>0</v>
      </c>
      <c r="CQ52" s="14">
        <v>0</v>
      </c>
      <c r="CR52" s="14">
        <v>0</v>
      </c>
      <c r="CS52" s="14">
        <v>0</v>
      </c>
      <c r="CT52" s="14">
        <v>0</v>
      </c>
      <c r="CU52" s="14">
        <v>0</v>
      </c>
      <c r="CV52" s="14">
        <v>0</v>
      </c>
      <c r="CW52" s="14">
        <v>0</v>
      </c>
      <c r="CX52" s="14">
        <v>0</v>
      </c>
      <c r="CY52" s="35">
        <v>35</v>
      </c>
      <c r="CZ52" s="50" t="s">
        <v>44</v>
      </c>
      <c r="DA52" s="24">
        <f t="shared" si="82"/>
        <v>26666.38</v>
      </c>
      <c r="DB52" s="14">
        <v>0</v>
      </c>
      <c r="DC52" s="14">
        <v>0</v>
      </c>
      <c r="DD52" s="14">
        <v>0</v>
      </c>
      <c r="DE52" s="14">
        <v>5714.31</v>
      </c>
      <c r="DF52" s="14">
        <f>3809.14</f>
        <v>3809.14</v>
      </c>
      <c r="DG52" s="14">
        <v>0</v>
      </c>
      <c r="DH52" s="14">
        <v>5714.31</v>
      </c>
      <c r="DI52" s="14">
        <v>1905.17</v>
      </c>
      <c r="DJ52" s="14">
        <f>3809.14</f>
        <v>3809.14</v>
      </c>
      <c r="DK52" s="14">
        <f>5714.31</f>
        <v>5714.31</v>
      </c>
      <c r="DL52" s="14">
        <v>0</v>
      </c>
      <c r="DM52" s="35">
        <v>35</v>
      </c>
      <c r="DN52" s="50" t="s">
        <v>44</v>
      </c>
      <c r="DO52" s="24">
        <f t="shared" si="83"/>
        <v>0</v>
      </c>
      <c r="DP52" s="14">
        <v>0</v>
      </c>
      <c r="DQ52" s="14">
        <v>0</v>
      </c>
      <c r="DR52" s="14">
        <v>0</v>
      </c>
      <c r="DS52" s="14">
        <v>0</v>
      </c>
      <c r="DT52" s="14">
        <v>0</v>
      </c>
      <c r="DU52" s="14">
        <v>0</v>
      </c>
      <c r="DV52" s="14">
        <v>0</v>
      </c>
      <c r="DW52" s="14">
        <v>0</v>
      </c>
      <c r="DX52" s="14">
        <v>0</v>
      </c>
      <c r="DY52" s="14">
        <v>0</v>
      </c>
      <c r="DZ52" s="14">
        <v>0</v>
      </c>
      <c r="EA52" s="35">
        <v>35</v>
      </c>
      <c r="EB52" s="50" t="s">
        <v>44</v>
      </c>
      <c r="EC52" s="24">
        <f t="shared" si="84"/>
        <v>0</v>
      </c>
      <c r="ED52" s="14">
        <v>0</v>
      </c>
      <c r="EE52" s="14">
        <v>0</v>
      </c>
      <c r="EF52" s="14">
        <v>0</v>
      </c>
      <c r="EG52" s="14">
        <v>0</v>
      </c>
      <c r="EH52" s="14">
        <v>0</v>
      </c>
      <c r="EI52" s="14">
        <v>0</v>
      </c>
      <c r="EJ52" s="14">
        <v>0</v>
      </c>
      <c r="EK52" s="14">
        <v>0</v>
      </c>
      <c r="EL52" s="14">
        <v>0</v>
      </c>
      <c r="EM52" s="14">
        <v>0</v>
      </c>
      <c r="EN52" s="14">
        <v>0</v>
      </c>
      <c r="EO52" s="35">
        <v>35</v>
      </c>
      <c r="EP52" s="50" t="s">
        <v>44</v>
      </c>
      <c r="EQ52" s="24">
        <f t="shared" si="85"/>
        <v>0</v>
      </c>
      <c r="ER52" s="14">
        <v>0</v>
      </c>
      <c r="ES52" s="14">
        <v>0</v>
      </c>
      <c r="ET52" s="14">
        <v>0</v>
      </c>
      <c r="EU52" s="14">
        <v>0</v>
      </c>
      <c r="EV52" s="14">
        <v>0</v>
      </c>
      <c r="EW52" s="14">
        <v>0</v>
      </c>
      <c r="EX52" s="14">
        <v>0</v>
      </c>
      <c r="EY52" s="14">
        <v>0</v>
      </c>
      <c r="EZ52" s="14">
        <v>0</v>
      </c>
      <c r="FA52" s="14">
        <v>0</v>
      </c>
      <c r="FB52" s="14">
        <v>0</v>
      </c>
    </row>
    <row r="53" spans="1:877" s="19" customFormat="1" ht="10.5" customHeight="1" x14ac:dyDescent="0.2">
      <c r="A53" s="57">
        <v>33</v>
      </c>
      <c r="B53" s="12" t="s">
        <v>45</v>
      </c>
      <c r="C53" s="24">
        <f t="shared" si="86"/>
        <v>19595.95</v>
      </c>
      <c r="D53" s="14"/>
      <c r="E53" s="14">
        <f t="shared" si="23"/>
        <v>6931.9600000000019</v>
      </c>
      <c r="F53" s="14">
        <f t="shared" si="24"/>
        <v>3194.0299999999997</v>
      </c>
      <c r="G53" s="14">
        <f t="shared" si="25"/>
        <v>1634.28</v>
      </c>
      <c r="H53" s="14">
        <f t="shared" si="64"/>
        <v>1092.1600000000001</v>
      </c>
      <c r="I53" s="14">
        <f t="shared" si="64"/>
        <v>1771.5100000000002</v>
      </c>
      <c r="J53" s="14">
        <f t="shared" si="64"/>
        <v>1330.33</v>
      </c>
      <c r="K53" s="14">
        <f t="shared" si="64"/>
        <v>482</v>
      </c>
      <c r="L53" s="14">
        <f t="shared" si="64"/>
        <v>995.78000000000009</v>
      </c>
      <c r="M53" s="14">
        <f t="shared" si="64"/>
        <v>1398.37</v>
      </c>
      <c r="N53" s="14">
        <f t="shared" si="64"/>
        <v>765.53</v>
      </c>
      <c r="O53" s="57">
        <v>36</v>
      </c>
      <c r="P53" s="12" t="s">
        <v>45</v>
      </c>
      <c r="Q53" s="24">
        <f>SUM(R53:T53)</f>
        <v>1236</v>
      </c>
      <c r="R53" s="14">
        <v>0</v>
      </c>
      <c r="S53" s="14">
        <v>846.04</v>
      </c>
      <c r="T53" s="14">
        <v>389.96</v>
      </c>
      <c r="U53" s="57">
        <v>36</v>
      </c>
      <c r="V53" s="12" t="s">
        <v>45</v>
      </c>
      <c r="W53" s="24">
        <f>SUM(X53:Z53)</f>
        <v>5758.7</v>
      </c>
      <c r="X53" s="14">
        <v>0</v>
      </c>
      <c r="Y53" s="14">
        <v>3941.9</v>
      </c>
      <c r="Z53" s="14">
        <v>1816.8</v>
      </c>
      <c r="AA53" s="57">
        <v>36</v>
      </c>
      <c r="AB53" s="12" t="s">
        <v>45</v>
      </c>
      <c r="AC53" s="24">
        <f>SUM(AD53:AF53)</f>
        <v>1260</v>
      </c>
      <c r="AD53" s="14">
        <v>0</v>
      </c>
      <c r="AE53" s="14">
        <v>862.47</v>
      </c>
      <c r="AF53" s="14">
        <v>397.53</v>
      </c>
      <c r="AG53" s="57">
        <v>36</v>
      </c>
      <c r="AH53" s="12" t="s">
        <v>45</v>
      </c>
      <c r="AI53" s="24">
        <f t="shared" si="77"/>
        <v>1222.4000000000001</v>
      </c>
      <c r="AJ53" s="14">
        <v>0</v>
      </c>
      <c r="AK53" s="14">
        <v>138.13</v>
      </c>
      <c r="AL53" s="14">
        <v>63.56</v>
      </c>
      <c r="AM53" s="14">
        <v>176.15</v>
      </c>
      <c r="AN53" s="14">
        <v>117.72</v>
      </c>
      <c r="AO53" s="14">
        <v>190.94</v>
      </c>
      <c r="AP53" s="14">
        <v>143.38999999999999</v>
      </c>
      <c r="AQ53" s="14">
        <v>51.95</v>
      </c>
      <c r="AR53" s="14">
        <v>107.33</v>
      </c>
      <c r="AS53" s="14">
        <v>150.72</v>
      </c>
      <c r="AT53" s="14">
        <v>82.51</v>
      </c>
      <c r="AU53" s="57">
        <v>36</v>
      </c>
      <c r="AV53" s="12" t="s">
        <v>45</v>
      </c>
      <c r="AW53" s="24">
        <f t="shared" si="78"/>
        <v>1260.0099999999998</v>
      </c>
      <c r="AX53" s="14">
        <v>0</v>
      </c>
      <c r="AY53" s="14">
        <v>142.38</v>
      </c>
      <c r="AZ53" s="14">
        <v>65.52</v>
      </c>
      <c r="BA53" s="14">
        <v>181.57</v>
      </c>
      <c r="BB53" s="14">
        <v>121.34</v>
      </c>
      <c r="BC53" s="14">
        <v>196.81</v>
      </c>
      <c r="BD53" s="14">
        <v>147.80000000000001</v>
      </c>
      <c r="BE53" s="14">
        <v>53.55</v>
      </c>
      <c r="BF53" s="14">
        <v>110.63</v>
      </c>
      <c r="BG53" s="14">
        <v>155.36000000000001</v>
      </c>
      <c r="BH53" s="14">
        <v>85.05</v>
      </c>
      <c r="BI53" s="57">
        <v>36</v>
      </c>
      <c r="BJ53" s="12" t="s">
        <v>45</v>
      </c>
      <c r="BK53" s="24">
        <f t="shared" si="79"/>
        <v>1260.0099999999998</v>
      </c>
      <c r="BL53" s="14">
        <v>0</v>
      </c>
      <c r="BM53" s="14">
        <v>142.38</v>
      </c>
      <c r="BN53" s="14">
        <v>65.52</v>
      </c>
      <c r="BO53" s="14">
        <v>181.57</v>
      </c>
      <c r="BP53" s="14">
        <v>121.34</v>
      </c>
      <c r="BQ53" s="14">
        <v>196.81</v>
      </c>
      <c r="BR53" s="14">
        <v>147.80000000000001</v>
      </c>
      <c r="BS53" s="14">
        <v>53.55</v>
      </c>
      <c r="BT53" s="14">
        <v>110.63</v>
      </c>
      <c r="BU53" s="14">
        <v>155.36000000000001</v>
      </c>
      <c r="BV53" s="14">
        <v>85.05</v>
      </c>
      <c r="BW53" s="57">
        <v>36</v>
      </c>
      <c r="BX53" s="12" t="s">
        <v>45</v>
      </c>
      <c r="BY53" s="24">
        <f t="shared" si="80"/>
        <v>1222.4000000000001</v>
      </c>
      <c r="BZ53" s="14">
        <v>0</v>
      </c>
      <c r="CA53" s="14">
        <v>138.13</v>
      </c>
      <c r="CB53" s="14">
        <v>63.56</v>
      </c>
      <c r="CC53" s="14">
        <v>176.15</v>
      </c>
      <c r="CD53" s="14">
        <v>117.72</v>
      </c>
      <c r="CE53" s="14">
        <v>190.94</v>
      </c>
      <c r="CF53" s="14">
        <v>143.38999999999999</v>
      </c>
      <c r="CG53" s="14">
        <v>51.95</v>
      </c>
      <c r="CH53" s="14">
        <v>107.33</v>
      </c>
      <c r="CI53" s="14">
        <v>150.72</v>
      </c>
      <c r="CJ53" s="14">
        <v>82.51</v>
      </c>
      <c r="CK53" s="57">
        <v>36</v>
      </c>
      <c r="CL53" s="12" t="s">
        <v>45</v>
      </c>
      <c r="CM53" s="24">
        <f>SUM(CO53:CX53)</f>
        <v>1251.22</v>
      </c>
      <c r="CN53" s="14">
        <v>0</v>
      </c>
      <c r="CO53" s="14">
        <v>141.38999999999999</v>
      </c>
      <c r="CP53" s="14">
        <v>65.06</v>
      </c>
      <c r="CQ53" s="14">
        <v>180.3</v>
      </c>
      <c r="CR53" s="14">
        <v>120.49</v>
      </c>
      <c r="CS53" s="14">
        <v>195.44</v>
      </c>
      <c r="CT53" s="14">
        <v>146.77000000000001</v>
      </c>
      <c r="CU53" s="14">
        <v>53.18</v>
      </c>
      <c r="CV53" s="14">
        <v>109.86</v>
      </c>
      <c r="CW53" s="14">
        <v>154.27000000000001</v>
      </c>
      <c r="CX53" s="14">
        <v>84.46</v>
      </c>
      <c r="CY53" s="57">
        <v>36</v>
      </c>
      <c r="CZ53" s="12" t="s">
        <v>45</v>
      </c>
      <c r="DA53" s="24">
        <f>SUM(DC53:DL53)</f>
        <v>1270.8</v>
      </c>
      <c r="DB53" s="14">
        <v>0</v>
      </c>
      <c r="DC53" s="14">
        <v>143.6</v>
      </c>
      <c r="DD53" s="14">
        <v>66.08</v>
      </c>
      <c r="DE53" s="14">
        <v>183.12</v>
      </c>
      <c r="DF53" s="14">
        <v>122.38</v>
      </c>
      <c r="DG53" s="14">
        <v>198.5</v>
      </c>
      <c r="DH53" s="14">
        <v>149.06</v>
      </c>
      <c r="DI53" s="14">
        <v>54.01</v>
      </c>
      <c r="DJ53" s="14">
        <v>111.58</v>
      </c>
      <c r="DK53" s="14">
        <v>156.69</v>
      </c>
      <c r="DL53" s="14">
        <v>85.78</v>
      </c>
      <c r="DM53" s="57">
        <v>36</v>
      </c>
      <c r="DN53" s="12" t="s">
        <v>45</v>
      </c>
      <c r="DO53" s="24">
        <f>SUM(DQ53:DZ53)</f>
        <v>1278.4099999999999</v>
      </c>
      <c r="DP53" s="14">
        <v>0</v>
      </c>
      <c r="DQ53" s="14">
        <v>144.46</v>
      </c>
      <c r="DR53" s="14">
        <v>66.48</v>
      </c>
      <c r="DS53" s="14">
        <v>184.22</v>
      </c>
      <c r="DT53" s="14">
        <v>123.11</v>
      </c>
      <c r="DU53" s="14">
        <v>199.69</v>
      </c>
      <c r="DV53" s="14">
        <v>149.96</v>
      </c>
      <c r="DW53" s="14">
        <v>54.33</v>
      </c>
      <c r="DX53" s="14">
        <v>112.24</v>
      </c>
      <c r="DY53" s="14">
        <v>157.63</v>
      </c>
      <c r="DZ53" s="14">
        <v>86.29</v>
      </c>
      <c r="EA53" s="57">
        <v>36</v>
      </c>
      <c r="EB53" s="12" t="s">
        <v>45</v>
      </c>
      <c r="EC53" s="24">
        <f>SUM(EE53:EN53)</f>
        <v>1288</v>
      </c>
      <c r="ED53" s="14">
        <v>0</v>
      </c>
      <c r="EE53" s="14">
        <v>145.54</v>
      </c>
      <c r="EF53" s="14">
        <v>66.98</v>
      </c>
      <c r="EG53" s="14">
        <v>185.6</v>
      </c>
      <c r="EH53" s="14">
        <v>124.03</v>
      </c>
      <c r="EI53" s="14">
        <v>201.19</v>
      </c>
      <c r="EJ53" s="14">
        <v>151.08000000000001</v>
      </c>
      <c r="EK53" s="14">
        <v>54.74</v>
      </c>
      <c r="EL53" s="14">
        <v>113.09</v>
      </c>
      <c r="EM53" s="14">
        <v>158.81</v>
      </c>
      <c r="EN53" s="14">
        <v>86.94</v>
      </c>
      <c r="EO53" s="57">
        <v>36</v>
      </c>
      <c r="EP53" s="12" t="s">
        <v>45</v>
      </c>
      <c r="EQ53" s="24">
        <f>SUM(ES53:FB53)</f>
        <v>1288</v>
      </c>
      <c r="ER53" s="14">
        <v>0</v>
      </c>
      <c r="ES53" s="14">
        <v>145.54</v>
      </c>
      <c r="ET53" s="14">
        <v>66.98</v>
      </c>
      <c r="EU53" s="14">
        <v>185.6</v>
      </c>
      <c r="EV53" s="14">
        <v>124.03</v>
      </c>
      <c r="EW53" s="14">
        <v>201.19</v>
      </c>
      <c r="EX53" s="14">
        <v>151.08000000000001</v>
      </c>
      <c r="EY53" s="14">
        <v>54.74</v>
      </c>
      <c r="EZ53" s="14">
        <v>113.09</v>
      </c>
      <c r="FA53" s="14">
        <v>158.81</v>
      </c>
      <c r="FB53" s="14">
        <v>86.94</v>
      </c>
    </row>
    <row r="54" spans="1:877" s="4" customFormat="1" ht="10.5" customHeight="1" x14ac:dyDescent="0.2">
      <c r="A54" s="32"/>
      <c r="B54" s="36" t="s">
        <v>7</v>
      </c>
      <c r="C54" s="37">
        <f>SUM(C17:C53)</f>
        <v>7813807.8335999995</v>
      </c>
      <c r="D54" s="37"/>
      <c r="E54" s="26">
        <f t="shared" ref="E54:N54" si="87">SUM(E17:E53)</f>
        <v>1699384.2399799996</v>
      </c>
      <c r="F54" s="26">
        <f>SUM(F17:F53)</f>
        <v>1911559.90126</v>
      </c>
      <c r="G54" s="26">
        <f t="shared" si="87"/>
        <v>749757.64538</v>
      </c>
      <c r="H54" s="26">
        <f t="shared" si="87"/>
        <v>574989.57426000002</v>
      </c>
      <c r="I54" s="26">
        <f t="shared" si="87"/>
        <v>721383.90851999982</v>
      </c>
      <c r="J54" s="26">
        <f t="shared" si="87"/>
        <v>585613.80214000016</v>
      </c>
      <c r="K54" s="26">
        <f t="shared" si="87"/>
        <v>214368.30376000004</v>
      </c>
      <c r="L54" s="26">
        <f t="shared" si="87"/>
        <v>431743.42052000004</v>
      </c>
      <c r="M54" s="26">
        <f t="shared" si="87"/>
        <v>607915.72400000028</v>
      </c>
      <c r="N54" s="26">
        <f t="shared" si="87"/>
        <v>317091.31378000008</v>
      </c>
      <c r="O54" s="32"/>
      <c r="P54" s="36" t="s">
        <v>7</v>
      </c>
      <c r="Q54" s="24">
        <f>SUM(Q17:Q53)</f>
        <v>439370.31000000006</v>
      </c>
      <c r="R54" s="38"/>
      <c r="S54" s="39">
        <f>SUM(S17:S53)</f>
        <v>99388.346599999975</v>
      </c>
      <c r="T54" s="39">
        <f>SUM(T17:T53)</f>
        <v>339981.25284000003</v>
      </c>
      <c r="U54" s="32"/>
      <c r="V54" s="36" t="s">
        <v>7</v>
      </c>
      <c r="W54" s="24">
        <f>SUM(W17:W53)</f>
        <v>576142.03971999977</v>
      </c>
      <c r="X54" s="38"/>
      <c r="Y54" s="39">
        <f>SUM(Y17:Y53)</f>
        <v>222593.67277999999</v>
      </c>
      <c r="Z54" s="39">
        <f>SUM(Z17:Z53)</f>
        <v>353548.36693999998</v>
      </c>
      <c r="AA54" s="32"/>
      <c r="AB54" s="36" t="s">
        <v>7</v>
      </c>
      <c r="AC54" s="24">
        <f>SUM(AC17:AC53)</f>
        <v>380785.30309999996</v>
      </c>
      <c r="AD54" s="38"/>
      <c r="AE54" s="39">
        <f>SUM(AE17:AE53)</f>
        <v>216824.54793999999</v>
      </c>
      <c r="AF54" s="39">
        <f>SUM(AF17:AF53)</f>
        <v>163960.06516</v>
      </c>
      <c r="AG54" s="32"/>
      <c r="AH54" s="36" t="s">
        <v>7</v>
      </c>
      <c r="AI54" s="24">
        <f>SUM(AI17:AI53)</f>
        <v>746981.57415999996</v>
      </c>
      <c r="AJ54" s="14">
        <v>0</v>
      </c>
      <c r="AK54" s="39">
        <f t="shared" ref="AK54:AT54" si="88">SUM(AK17:AK53)</f>
        <v>197247.31306000001</v>
      </c>
      <c r="AL54" s="39">
        <f t="shared" si="88"/>
        <v>513116.53110000002</v>
      </c>
      <c r="AM54" s="39">
        <f t="shared" si="88"/>
        <v>6447.51</v>
      </c>
      <c r="AN54" s="39">
        <f t="shared" si="88"/>
        <v>4407.03</v>
      </c>
      <c r="AO54" s="39">
        <f t="shared" si="88"/>
        <v>7757.5199999999995</v>
      </c>
      <c r="AP54" s="39">
        <f t="shared" si="88"/>
        <v>4607.0199999999995</v>
      </c>
      <c r="AQ54" s="39">
        <f t="shared" si="88"/>
        <v>1675.64</v>
      </c>
      <c r="AR54" s="39">
        <f t="shared" si="88"/>
        <v>3450.9300000000003</v>
      </c>
      <c r="AS54" s="39">
        <f t="shared" si="88"/>
        <v>5403.2400000000007</v>
      </c>
      <c r="AT54" s="39">
        <f t="shared" si="88"/>
        <v>2868.84</v>
      </c>
      <c r="AU54" s="32"/>
      <c r="AV54" s="36" t="s">
        <v>7</v>
      </c>
      <c r="AW54" s="24">
        <f>SUM(AW17:AW53)</f>
        <v>705570.11518000008</v>
      </c>
      <c r="AX54" s="14">
        <v>0</v>
      </c>
      <c r="AY54" s="39">
        <f t="shared" ref="AY54:BH54" si="89">SUM(AY17:AY53)</f>
        <v>155770.19414000001</v>
      </c>
      <c r="AZ54" s="39">
        <f t="shared" si="89"/>
        <v>58156.146699999998</v>
      </c>
      <c r="BA54" s="39">
        <f t="shared" si="89"/>
        <v>87117.104380000004</v>
      </c>
      <c r="BB54" s="39">
        <f t="shared" si="89"/>
        <v>56624.700399999994</v>
      </c>
      <c r="BC54" s="39">
        <f t="shared" si="89"/>
        <v>81866.499080000009</v>
      </c>
      <c r="BD54" s="39">
        <f t="shared" si="89"/>
        <v>70929.52224000002</v>
      </c>
      <c r="BE54" s="39">
        <f t="shared" si="89"/>
        <v>25905.27046</v>
      </c>
      <c r="BF54" s="39">
        <f t="shared" si="89"/>
        <v>54922.031779999998</v>
      </c>
      <c r="BG54" s="39">
        <f t="shared" si="89"/>
        <v>77112.369899999991</v>
      </c>
      <c r="BH54" s="39">
        <f t="shared" si="89"/>
        <v>37166.27610000001</v>
      </c>
      <c r="BI54" s="32"/>
      <c r="BJ54" s="36" t="s">
        <v>7</v>
      </c>
      <c r="BK54" s="24">
        <f>SUM(BK17:BK53)</f>
        <v>651892.12686000008</v>
      </c>
      <c r="BL54" s="14">
        <v>0</v>
      </c>
      <c r="BM54" s="39">
        <f>SUM(BM17:BM53)</f>
        <v>107796.102</v>
      </c>
      <c r="BN54" s="39">
        <f t="shared" ref="BN54:BV54" si="90">SUM(BN17:BN53)</f>
        <v>51627.807539999994</v>
      </c>
      <c r="BO54" s="39">
        <f t="shared" si="90"/>
        <v>84348.015639999983</v>
      </c>
      <c r="BP54" s="39">
        <f t="shared" si="90"/>
        <v>54820.833300000013</v>
      </c>
      <c r="BQ54" s="39">
        <f t="shared" si="90"/>
        <v>87442.417720000012</v>
      </c>
      <c r="BR54" s="39">
        <f t="shared" si="90"/>
        <v>73400.443679999997</v>
      </c>
      <c r="BS54" s="39">
        <f t="shared" si="90"/>
        <v>26594.00908</v>
      </c>
      <c r="BT54" s="39">
        <f t="shared" si="90"/>
        <v>54476.574619999985</v>
      </c>
      <c r="BU54" s="39">
        <f t="shared" si="90"/>
        <v>76480.636600000013</v>
      </c>
      <c r="BV54" s="39">
        <f t="shared" si="90"/>
        <v>34905.286680000005</v>
      </c>
      <c r="BW54" s="32"/>
      <c r="BX54" s="36" t="s">
        <v>7</v>
      </c>
      <c r="BY54" s="24">
        <f>SUM(BY17:BY53)</f>
        <v>618385.18166</v>
      </c>
      <c r="BZ54" s="14">
        <v>0</v>
      </c>
      <c r="CA54" s="39">
        <f>SUM(CA17:CA53)</f>
        <v>127530.37358</v>
      </c>
      <c r="CB54" s="39">
        <f t="shared" ref="CB54:CJ54" si="91">SUM(CB17:CB53)</f>
        <v>48918.130679999995</v>
      </c>
      <c r="CC54" s="39">
        <f t="shared" si="91"/>
        <v>76520.833540000007</v>
      </c>
      <c r="CD54" s="39">
        <f t="shared" si="91"/>
        <v>47411.37107999999</v>
      </c>
      <c r="CE54" s="39">
        <f t="shared" si="91"/>
        <v>72512.581919999997</v>
      </c>
      <c r="CF54" s="39">
        <f t="shared" si="91"/>
        <v>67556.972959999999</v>
      </c>
      <c r="CG54" s="39">
        <f t="shared" si="91"/>
        <v>26583.752620000003</v>
      </c>
      <c r="CH54" s="39">
        <f t="shared" si="91"/>
        <v>49210.27708</v>
      </c>
      <c r="CI54" s="39">
        <f t="shared" si="91"/>
        <v>69079.502560000008</v>
      </c>
      <c r="CJ54" s="39">
        <f t="shared" si="91"/>
        <v>33061.38564</v>
      </c>
      <c r="CK54" s="32"/>
      <c r="CL54" s="36" t="s">
        <v>7</v>
      </c>
      <c r="CM54" s="24">
        <f>SUM(CM17:CM53)</f>
        <v>630912.32478000002</v>
      </c>
      <c r="CN54" s="14">
        <v>0</v>
      </c>
      <c r="CO54" s="39">
        <f>SUM(CO17:CO53)</f>
        <v>59684.177899999981</v>
      </c>
      <c r="CP54" s="39">
        <f t="shared" ref="CP54:CX54" si="92">SUM(CP17:CP53)</f>
        <v>63281.581999999995</v>
      </c>
      <c r="CQ54" s="39">
        <f t="shared" si="92"/>
        <v>113202.31958000001</v>
      </c>
      <c r="CR54" s="39">
        <f t="shared" si="92"/>
        <v>53390.102120000003</v>
      </c>
      <c r="CS54" s="39">
        <f t="shared" si="92"/>
        <v>76502.997860000003</v>
      </c>
      <c r="CT54" s="39">
        <f t="shared" si="92"/>
        <v>78416.062780000007</v>
      </c>
      <c r="CU54" s="39">
        <f t="shared" si="92"/>
        <v>28482.23288</v>
      </c>
      <c r="CV54" s="39">
        <f t="shared" si="92"/>
        <v>50997.375160000003</v>
      </c>
      <c r="CW54" s="39">
        <f t="shared" si="92"/>
        <v>72926.65552</v>
      </c>
      <c r="CX54" s="39">
        <f t="shared" si="92"/>
        <v>34028.818980000004</v>
      </c>
      <c r="CY54" s="32"/>
      <c r="CZ54" s="36" t="s">
        <v>7</v>
      </c>
      <c r="DA54" s="24">
        <f>SUM(DA17:DA53)</f>
        <v>670729.83799999999</v>
      </c>
      <c r="DB54" s="14">
        <v>0</v>
      </c>
      <c r="DC54" s="39">
        <f>SUM(DC17:DC53)</f>
        <v>78666.978000000003</v>
      </c>
      <c r="DD54" s="39">
        <f t="shared" ref="DD54:DL54" si="93">SUM(DD17:DD53)</f>
        <v>62832.78</v>
      </c>
      <c r="DE54" s="39">
        <f t="shared" si="93"/>
        <v>98393.811999999991</v>
      </c>
      <c r="DF54" s="39">
        <f t="shared" si="93"/>
        <v>67543.470000000016</v>
      </c>
      <c r="DG54" s="39">
        <f t="shared" si="93"/>
        <v>95387.175999999992</v>
      </c>
      <c r="DH54" s="39">
        <f t="shared" si="93"/>
        <v>73611.850000000006</v>
      </c>
      <c r="DI54" s="39">
        <f t="shared" si="93"/>
        <v>26495.197999999993</v>
      </c>
      <c r="DJ54" s="39">
        <f t="shared" si="93"/>
        <v>54196.991999999998</v>
      </c>
      <c r="DK54" s="39">
        <f t="shared" si="93"/>
        <v>76468.823999999993</v>
      </c>
      <c r="DL54" s="39">
        <f t="shared" si="93"/>
        <v>37132.758000000002</v>
      </c>
      <c r="DM54" s="32"/>
      <c r="DN54" s="36" t="s">
        <v>7</v>
      </c>
      <c r="DO54" s="24">
        <f>SUM(DO17:DO53)</f>
        <v>770336.58585999999</v>
      </c>
      <c r="DP54" s="14">
        <v>0</v>
      </c>
      <c r="DQ54" s="39">
        <f>SUM(DQ17:DQ53)</f>
        <v>156243.48801999999</v>
      </c>
      <c r="DR54" s="39">
        <f t="shared" ref="DR54:DZ54" si="94">SUM(DR17:DR53)</f>
        <v>62596.909679999997</v>
      </c>
      <c r="DS54" s="39">
        <f t="shared" si="94"/>
        <v>87057.808919999981</v>
      </c>
      <c r="DT54" s="39">
        <f t="shared" si="94"/>
        <v>96909.571720000007</v>
      </c>
      <c r="DU54" s="39">
        <f t="shared" si="94"/>
        <v>82849.388599999991</v>
      </c>
      <c r="DV54" s="39">
        <f t="shared" si="94"/>
        <v>69534.396380000006</v>
      </c>
      <c r="DW54" s="39">
        <f t="shared" si="94"/>
        <v>25344.296140000002</v>
      </c>
      <c r="DX54" s="39">
        <f t="shared" si="94"/>
        <v>54747.964260000001</v>
      </c>
      <c r="DY54" s="39">
        <f t="shared" si="94"/>
        <v>76627.989300000001</v>
      </c>
      <c r="DZ54" s="39">
        <f t="shared" si="94"/>
        <v>58424.772839999998</v>
      </c>
      <c r="EA54" s="32"/>
      <c r="EB54" s="36" t="s">
        <v>7</v>
      </c>
      <c r="EC54" s="24">
        <f>SUM(EC17:EC53)</f>
        <v>735181.29740000016</v>
      </c>
      <c r="ED54" s="14">
        <v>0</v>
      </c>
      <c r="EE54" s="39">
        <f>SUM(EE17:EE53)</f>
        <v>76157.837699999989</v>
      </c>
      <c r="EF54" s="39">
        <f t="shared" ref="EF54:EN54" si="95">SUM(EF17:EF53)</f>
        <v>131698.71295999998</v>
      </c>
      <c r="EG54" s="39">
        <f t="shared" si="95"/>
        <v>101979.29728000001</v>
      </c>
      <c r="EH54" s="39">
        <f t="shared" si="95"/>
        <v>67631.283939999994</v>
      </c>
      <c r="EI54" s="39">
        <f t="shared" si="95"/>
        <v>106118.93834000002</v>
      </c>
      <c r="EJ54" s="39">
        <f t="shared" si="95"/>
        <v>67347.873779999994</v>
      </c>
      <c r="EK54" s="39">
        <f t="shared" si="95"/>
        <v>24336.029800000004</v>
      </c>
      <c r="EL54" s="39">
        <f t="shared" si="95"/>
        <v>49862.973380000003</v>
      </c>
      <c r="EM54" s="39">
        <f t="shared" si="95"/>
        <v>70180.137780000005</v>
      </c>
      <c r="EN54" s="39">
        <f t="shared" si="95"/>
        <v>39868.212440000003</v>
      </c>
      <c r="EO54" s="32"/>
      <c r="EP54" s="36" t="s">
        <v>7</v>
      </c>
      <c r="EQ54" s="24">
        <f>SUM(EQ17:EQ53)</f>
        <v>887522.5374400001</v>
      </c>
      <c r="ER54" s="14">
        <v>0</v>
      </c>
      <c r="ES54" s="39">
        <f>SUM(ES17:ES53)</f>
        <v>201481.20825999998</v>
      </c>
      <c r="ET54" s="39">
        <f t="shared" ref="ET54:FB54" si="96">SUM(ET17:ET53)</f>
        <v>61841.61566000001</v>
      </c>
      <c r="EU54" s="39">
        <f t="shared" si="96"/>
        <v>94690.944039999958</v>
      </c>
      <c r="EV54" s="39">
        <f t="shared" si="96"/>
        <v>126251.21170000003</v>
      </c>
      <c r="EW54" s="39">
        <f t="shared" si="96"/>
        <v>110946.38900000001</v>
      </c>
      <c r="EX54" s="39">
        <f t="shared" si="96"/>
        <v>80209.660320000025</v>
      </c>
      <c r="EY54" s="39">
        <f t="shared" si="96"/>
        <v>28951.874779999998</v>
      </c>
      <c r="EZ54" s="39">
        <f t="shared" si="96"/>
        <v>59878.302239999997</v>
      </c>
      <c r="FA54" s="39">
        <f t="shared" si="96"/>
        <v>83636.368340000001</v>
      </c>
      <c r="FB54" s="39">
        <f t="shared" si="96"/>
        <v>39634.963100000015</v>
      </c>
    </row>
    <row r="55" spans="1:877" s="4" customFormat="1" ht="10.5" customHeight="1" x14ac:dyDescent="0.2">
      <c r="A55" s="31"/>
      <c r="B55" s="29" t="s">
        <v>46</v>
      </c>
      <c r="C55" s="40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31"/>
      <c r="P55" s="29" t="s">
        <v>46</v>
      </c>
      <c r="Q55" s="24">
        <f>S55+T55</f>
        <v>0</v>
      </c>
      <c r="R55" s="38">
        <v>0</v>
      </c>
      <c r="S55" s="38">
        <v>0</v>
      </c>
      <c r="T55" s="42">
        <v>0</v>
      </c>
      <c r="U55" s="31"/>
      <c r="V55" s="29" t="s">
        <v>46</v>
      </c>
      <c r="W55" s="24">
        <f>Y55+Z55</f>
        <v>0</v>
      </c>
      <c r="X55" s="38">
        <v>0</v>
      </c>
      <c r="Y55" s="38">
        <v>0</v>
      </c>
      <c r="Z55" s="42">
        <v>0</v>
      </c>
      <c r="AA55" s="31"/>
      <c r="AB55" s="29" t="s">
        <v>46</v>
      </c>
      <c r="AC55" s="24">
        <f>AE55+AF55</f>
        <v>0</v>
      </c>
      <c r="AD55" s="38">
        <v>0</v>
      </c>
      <c r="AE55" s="38">
        <v>0</v>
      </c>
      <c r="AF55" s="42">
        <v>0</v>
      </c>
      <c r="AG55" s="31"/>
      <c r="AH55" s="29" t="s">
        <v>46</v>
      </c>
      <c r="AI55" s="24">
        <f>SUM(AI56:AI58)</f>
        <v>0</v>
      </c>
      <c r="AJ55" s="14"/>
      <c r="AK55" s="38">
        <v>0</v>
      </c>
      <c r="AL55" s="42">
        <v>0</v>
      </c>
      <c r="AM55" s="38">
        <v>0</v>
      </c>
      <c r="AN55" s="42">
        <v>0</v>
      </c>
      <c r="AO55" s="38">
        <v>0</v>
      </c>
      <c r="AP55" s="42">
        <v>0</v>
      </c>
      <c r="AQ55" s="38">
        <v>0</v>
      </c>
      <c r="AR55" s="42">
        <v>0</v>
      </c>
      <c r="AS55" s="38">
        <v>0</v>
      </c>
      <c r="AT55" s="42">
        <v>0</v>
      </c>
      <c r="AU55" s="31"/>
      <c r="AV55" s="29" t="s">
        <v>46</v>
      </c>
      <c r="AW55" s="24">
        <f>SUM(AW56:AW58)</f>
        <v>0</v>
      </c>
      <c r="AX55" s="14"/>
      <c r="AY55" s="38">
        <v>0</v>
      </c>
      <c r="AZ55" s="42">
        <v>0</v>
      </c>
      <c r="BA55" s="38">
        <v>0</v>
      </c>
      <c r="BB55" s="42">
        <v>0</v>
      </c>
      <c r="BC55" s="38">
        <v>0</v>
      </c>
      <c r="BD55" s="42">
        <v>0</v>
      </c>
      <c r="BE55" s="38">
        <v>0</v>
      </c>
      <c r="BF55" s="42">
        <v>0</v>
      </c>
      <c r="BG55" s="38">
        <v>0</v>
      </c>
      <c r="BH55" s="42">
        <v>0</v>
      </c>
      <c r="BI55" s="31"/>
      <c r="BJ55" s="29" t="s">
        <v>46</v>
      </c>
      <c r="BK55" s="24">
        <f>SUM(BK56:BK58)</f>
        <v>0</v>
      </c>
      <c r="BL55" s="14"/>
      <c r="BM55" s="38">
        <v>0</v>
      </c>
      <c r="BN55" s="42">
        <v>0</v>
      </c>
      <c r="BO55" s="38">
        <v>0</v>
      </c>
      <c r="BP55" s="42">
        <v>0</v>
      </c>
      <c r="BQ55" s="38">
        <v>0</v>
      </c>
      <c r="BR55" s="42">
        <v>0</v>
      </c>
      <c r="BS55" s="38">
        <v>0</v>
      </c>
      <c r="BT55" s="42">
        <v>0</v>
      </c>
      <c r="BU55" s="38">
        <v>0</v>
      </c>
      <c r="BV55" s="42">
        <v>0</v>
      </c>
      <c r="BW55" s="31"/>
      <c r="BX55" s="29" t="s">
        <v>46</v>
      </c>
      <c r="BY55" s="24">
        <f>SUM(BY56:BY58)</f>
        <v>0</v>
      </c>
      <c r="BZ55" s="14"/>
      <c r="CA55" s="38">
        <v>0</v>
      </c>
      <c r="CB55" s="42">
        <v>0</v>
      </c>
      <c r="CC55" s="38">
        <v>0</v>
      </c>
      <c r="CD55" s="42">
        <v>0</v>
      </c>
      <c r="CE55" s="38">
        <v>0</v>
      </c>
      <c r="CF55" s="42">
        <v>0</v>
      </c>
      <c r="CG55" s="38">
        <v>0</v>
      </c>
      <c r="CH55" s="42">
        <v>0</v>
      </c>
      <c r="CI55" s="38">
        <v>0</v>
      </c>
      <c r="CJ55" s="42">
        <v>0</v>
      </c>
      <c r="CK55" s="31"/>
      <c r="CL55" s="29" t="s">
        <v>46</v>
      </c>
      <c r="CM55" s="24">
        <f>SUM(CM56:CM58)</f>
        <v>0</v>
      </c>
      <c r="CN55" s="14"/>
      <c r="CO55" s="38">
        <v>0</v>
      </c>
      <c r="CP55" s="42">
        <v>0</v>
      </c>
      <c r="CQ55" s="38">
        <v>0</v>
      </c>
      <c r="CR55" s="42">
        <v>0</v>
      </c>
      <c r="CS55" s="38">
        <v>0</v>
      </c>
      <c r="CT55" s="42">
        <v>0</v>
      </c>
      <c r="CU55" s="38">
        <v>0</v>
      </c>
      <c r="CV55" s="42">
        <v>0</v>
      </c>
      <c r="CW55" s="38">
        <v>0</v>
      </c>
      <c r="CX55" s="42">
        <v>0</v>
      </c>
      <c r="CY55" s="31"/>
      <c r="CZ55" s="29" t="s">
        <v>46</v>
      </c>
      <c r="DA55" s="24">
        <f>SUM(DA56:DA58)</f>
        <v>0</v>
      </c>
      <c r="DB55" s="14"/>
      <c r="DC55" s="38">
        <v>0</v>
      </c>
      <c r="DD55" s="42">
        <v>0</v>
      </c>
      <c r="DE55" s="38">
        <v>0</v>
      </c>
      <c r="DF55" s="42">
        <v>0</v>
      </c>
      <c r="DG55" s="38">
        <v>0</v>
      </c>
      <c r="DH55" s="42">
        <v>0</v>
      </c>
      <c r="DI55" s="38">
        <v>0</v>
      </c>
      <c r="DJ55" s="42">
        <v>0</v>
      </c>
      <c r="DK55" s="38">
        <v>0</v>
      </c>
      <c r="DL55" s="42">
        <v>0</v>
      </c>
      <c r="DM55" s="31"/>
      <c r="DN55" s="29" t="s">
        <v>46</v>
      </c>
      <c r="DO55" s="24">
        <f>SUM(DO56:DO58)</f>
        <v>0</v>
      </c>
      <c r="DP55" s="14"/>
      <c r="DQ55" s="38">
        <v>0</v>
      </c>
      <c r="DR55" s="42">
        <v>0</v>
      </c>
      <c r="DS55" s="38">
        <v>0</v>
      </c>
      <c r="DT55" s="42">
        <v>0</v>
      </c>
      <c r="DU55" s="38">
        <v>0</v>
      </c>
      <c r="DV55" s="42">
        <v>0</v>
      </c>
      <c r="DW55" s="38">
        <v>0</v>
      </c>
      <c r="DX55" s="42">
        <v>0</v>
      </c>
      <c r="DY55" s="38">
        <v>0</v>
      </c>
      <c r="DZ55" s="42">
        <v>0</v>
      </c>
      <c r="EA55" s="31"/>
      <c r="EB55" s="29" t="s">
        <v>46</v>
      </c>
      <c r="EC55" s="24">
        <f>SUM(EC56:EC58)</f>
        <v>0</v>
      </c>
      <c r="ED55" s="14"/>
      <c r="EE55" s="38">
        <v>0</v>
      </c>
      <c r="EF55" s="42">
        <v>0</v>
      </c>
      <c r="EG55" s="38">
        <v>0</v>
      </c>
      <c r="EH55" s="42">
        <v>0</v>
      </c>
      <c r="EI55" s="38">
        <v>0</v>
      </c>
      <c r="EJ55" s="42">
        <v>0</v>
      </c>
      <c r="EK55" s="38">
        <v>0</v>
      </c>
      <c r="EL55" s="42">
        <v>0</v>
      </c>
      <c r="EM55" s="38">
        <v>0</v>
      </c>
      <c r="EN55" s="42">
        <v>0</v>
      </c>
      <c r="EO55" s="31"/>
      <c r="EP55" s="29" t="s">
        <v>46</v>
      </c>
      <c r="EQ55" s="24">
        <f>SUM(EQ56:EQ58)</f>
        <v>0</v>
      </c>
      <c r="ER55" s="14"/>
      <c r="ES55" s="38">
        <v>0</v>
      </c>
      <c r="ET55" s="42">
        <v>0</v>
      </c>
      <c r="EU55" s="38">
        <v>0</v>
      </c>
      <c r="EV55" s="42">
        <v>0</v>
      </c>
      <c r="EW55" s="38">
        <v>0</v>
      </c>
      <c r="EX55" s="42">
        <v>0</v>
      </c>
      <c r="EY55" s="38">
        <v>0</v>
      </c>
      <c r="EZ55" s="42">
        <v>0</v>
      </c>
      <c r="FA55" s="38">
        <v>0</v>
      </c>
      <c r="FB55" s="42">
        <v>0</v>
      </c>
    </row>
    <row r="56" spans="1:877" s="4" customFormat="1" ht="10.5" customHeight="1" x14ac:dyDescent="0.2">
      <c r="A56" s="57">
        <v>34</v>
      </c>
      <c r="B56" s="12" t="s">
        <v>47</v>
      </c>
      <c r="C56" s="24">
        <f>SUM(E56:N56)</f>
        <v>0</v>
      </c>
      <c r="D56" s="14"/>
      <c r="E56" s="14">
        <f>S56+Y56+AE56+AY56+BM56+AK56+CA56+CO56+DC56+DQ56+EE56+ES56</f>
        <v>0</v>
      </c>
      <c r="F56" s="14">
        <f>T56+Z56+AF56+AZ56+BN56+AL56+CB56+CP56+DD56+DR56+EF56+ET56</f>
        <v>0</v>
      </c>
      <c r="G56" s="14">
        <f>AM56+AZ56+BO56+CC56+CQ56+DE56+DS56+EG56+EU56</f>
        <v>0</v>
      </c>
      <c r="H56" s="14">
        <f t="shared" ref="H56:N59" si="97">AN56+BA56+BP56+CD56+CR56+DF56+DT56+EH56+EV56</f>
        <v>0</v>
      </c>
      <c r="I56" s="14">
        <f t="shared" si="97"/>
        <v>0</v>
      </c>
      <c r="J56" s="14">
        <f t="shared" si="97"/>
        <v>0</v>
      </c>
      <c r="K56" s="14">
        <f t="shared" si="97"/>
        <v>0</v>
      </c>
      <c r="L56" s="14">
        <f t="shared" si="97"/>
        <v>0</v>
      </c>
      <c r="M56" s="14">
        <f t="shared" si="97"/>
        <v>0</v>
      </c>
      <c r="N56" s="14">
        <f t="shared" si="97"/>
        <v>0</v>
      </c>
      <c r="O56" s="57">
        <v>34</v>
      </c>
      <c r="P56" s="12" t="s">
        <v>47</v>
      </c>
      <c r="Q56" s="24">
        <f>S56+T56</f>
        <v>0</v>
      </c>
      <c r="R56" s="14">
        <v>0</v>
      </c>
      <c r="S56" s="14">
        <v>0</v>
      </c>
      <c r="T56" s="14">
        <v>0</v>
      </c>
      <c r="U56" s="57">
        <v>34</v>
      </c>
      <c r="V56" s="12" t="s">
        <v>47</v>
      </c>
      <c r="W56" s="24">
        <f>Y56+Z56</f>
        <v>0</v>
      </c>
      <c r="X56" s="14">
        <v>0</v>
      </c>
      <c r="Y56" s="14">
        <v>0</v>
      </c>
      <c r="Z56" s="14">
        <v>0</v>
      </c>
      <c r="AA56" s="57">
        <v>34</v>
      </c>
      <c r="AB56" s="12" t="s">
        <v>47</v>
      </c>
      <c r="AC56" s="24">
        <f>AE56+AF56</f>
        <v>0</v>
      </c>
      <c r="AD56" s="14">
        <v>0</v>
      </c>
      <c r="AE56" s="14">
        <v>0</v>
      </c>
      <c r="AF56" s="14">
        <v>0</v>
      </c>
      <c r="AG56" s="57">
        <v>34</v>
      </c>
      <c r="AH56" s="12" t="s">
        <v>47</v>
      </c>
      <c r="AI56" s="24">
        <f>SUM(AK56:AT56)</f>
        <v>0</v>
      </c>
      <c r="AJ56" s="14">
        <v>0</v>
      </c>
      <c r="AK56" s="14">
        <v>0</v>
      </c>
      <c r="AL56" s="14">
        <v>0</v>
      </c>
      <c r="AM56" s="14">
        <v>0</v>
      </c>
      <c r="AN56" s="14">
        <v>0</v>
      </c>
      <c r="AO56" s="14">
        <v>0</v>
      </c>
      <c r="AP56" s="14">
        <v>0</v>
      </c>
      <c r="AQ56" s="14">
        <v>0</v>
      </c>
      <c r="AR56" s="14">
        <v>0</v>
      </c>
      <c r="AS56" s="14">
        <v>0</v>
      </c>
      <c r="AT56" s="14">
        <v>0</v>
      </c>
      <c r="AU56" s="57">
        <v>34</v>
      </c>
      <c r="AV56" s="12" t="s">
        <v>47</v>
      </c>
      <c r="AW56" s="24">
        <f>SUM(AY56:BH56)</f>
        <v>0</v>
      </c>
      <c r="AX56" s="14">
        <v>0</v>
      </c>
      <c r="AY56" s="14">
        <v>0</v>
      </c>
      <c r="AZ56" s="14">
        <v>0</v>
      </c>
      <c r="BA56" s="14">
        <v>0</v>
      </c>
      <c r="BB56" s="14">
        <v>0</v>
      </c>
      <c r="BC56" s="14">
        <v>0</v>
      </c>
      <c r="BD56" s="14">
        <v>0</v>
      </c>
      <c r="BE56" s="14">
        <v>0</v>
      </c>
      <c r="BF56" s="14">
        <v>0</v>
      </c>
      <c r="BG56" s="14">
        <v>0</v>
      </c>
      <c r="BH56" s="14">
        <v>0</v>
      </c>
      <c r="BI56" s="57">
        <v>34</v>
      </c>
      <c r="BJ56" s="12" t="s">
        <v>47</v>
      </c>
      <c r="BK56" s="24">
        <f>SUM(BM56:BV56)</f>
        <v>0</v>
      </c>
      <c r="BL56" s="14">
        <v>0</v>
      </c>
      <c r="BM56" s="14">
        <v>0</v>
      </c>
      <c r="BN56" s="14">
        <v>0</v>
      </c>
      <c r="BO56" s="14">
        <v>0</v>
      </c>
      <c r="BP56" s="14">
        <v>0</v>
      </c>
      <c r="BQ56" s="14">
        <v>0</v>
      </c>
      <c r="BR56" s="14">
        <v>0</v>
      </c>
      <c r="BS56" s="14">
        <v>0</v>
      </c>
      <c r="BT56" s="14">
        <v>0</v>
      </c>
      <c r="BU56" s="14">
        <v>0</v>
      </c>
      <c r="BV56" s="14">
        <v>0</v>
      </c>
      <c r="BW56" s="57">
        <v>34</v>
      </c>
      <c r="BX56" s="12" t="s">
        <v>47</v>
      </c>
      <c r="BY56" s="24">
        <f>SUM(CA56:CJ56)</f>
        <v>0</v>
      </c>
      <c r="BZ56" s="14">
        <v>0</v>
      </c>
      <c r="CA56" s="14">
        <v>0</v>
      </c>
      <c r="CB56" s="14">
        <v>0</v>
      </c>
      <c r="CC56" s="14">
        <v>0</v>
      </c>
      <c r="CD56" s="14">
        <v>0</v>
      </c>
      <c r="CE56" s="14">
        <v>0</v>
      </c>
      <c r="CF56" s="14">
        <v>0</v>
      </c>
      <c r="CG56" s="14">
        <v>0</v>
      </c>
      <c r="CH56" s="14">
        <v>0</v>
      </c>
      <c r="CI56" s="14">
        <v>0</v>
      </c>
      <c r="CJ56" s="14">
        <v>0</v>
      </c>
      <c r="CK56" s="57">
        <v>34</v>
      </c>
      <c r="CL56" s="12" t="s">
        <v>47</v>
      </c>
      <c r="CM56" s="24">
        <f>SUM(CO56:CX56)</f>
        <v>0</v>
      </c>
      <c r="CN56" s="14">
        <v>0</v>
      </c>
      <c r="CO56" s="14">
        <v>0</v>
      </c>
      <c r="CP56" s="14">
        <v>0</v>
      </c>
      <c r="CQ56" s="14">
        <v>0</v>
      </c>
      <c r="CR56" s="14">
        <v>0</v>
      </c>
      <c r="CS56" s="14">
        <v>0</v>
      </c>
      <c r="CT56" s="14">
        <v>0</v>
      </c>
      <c r="CU56" s="14">
        <v>0</v>
      </c>
      <c r="CV56" s="14">
        <v>0</v>
      </c>
      <c r="CW56" s="14">
        <v>0</v>
      </c>
      <c r="CX56" s="14">
        <v>0</v>
      </c>
      <c r="CY56" s="57">
        <v>34</v>
      </c>
      <c r="CZ56" s="12" t="s">
        <v>47</v>
      </c>
      <c r="DA56" s="24">
        <f>SUM(DC56:DL56)</f>
        <v>0</v>
      </c>
      <c r="DB56" s="14">
        <v>0</v>
      </c>
      <c r="DC56" s="14">
        <v>0</v>
      </c>
      <c r="DD56" s="14">
        <v>0</v>
      </c>
      <c r="DE56" s="14">
        <v>0</v>
      </c>
      <c r="DF56" s="14">
        <v>0</v>
      </c>
      <c r="DG56" s="14">
        <v>0</v>
      </c>
      <c r="DH56" s="14">
        <v>0</v>
      </c>
      <c r="DI56" s="14">
        <v>0</v>
      </c>
      <c r="DJ56" s="14">
        <v>0</v>
      </c>
      <c r="DK56" s="14">
        <v>0</v>
      </c>
      <c r="DL56" s="14">
        <v>0</v>
      </c>
      <c r="DM56" s="57">
        <v>34</v>
      </c>
      <c r="DN56" s="12" t="s">
        <v>47</v>
      </c>
      <c r="DO56" s="24">
        <f>SUM(DQ56:DZ56)</f>
        <v>0</v>
      </c>
      <c r="DP56" s="14">
        <v>0</v>
      </c>
      <c r="DQ56" s="14">
        <v>0</v>
      </c>
      <c r="DR56" s="14">
        <v>0</v>
      </c>
      <c r="DS56" s="14">
        <v>0</v>
      </c>
      <c r="DT56" s="14">
        <v>0</v>
      </c>
      <c r="DU56" s="14">
        <v>0</v>
      </c>
      <c r="DV56" s="14">
        <v>0</v>
      </c>
      <c r="DW56" s="14">
        <v>0</v>
      </c>
      <c r="DX56" s="14">
        <v>0</v>
      </c>
      <c r="DY56" s="14">
        <v>0</v>
      </c>
      <c r="DZ56" s="14">
        <v>0</v>
      </c>
      <c r="EA56" s="57">
        <v>34</v>
      </c>
      <c r="EB56" s="12" t="s">
        <v>47</v>
      </c>
      <c r="EC56" s="24">
        <f>SUM(EE56:EN56)</f>
        <v>0</v>
      </c>
      <c r="ED56" s="14">
        <v>0</v>
      </c>
      <c r="EE56" s="14">
        <v>0</v>
      </c>
      <c r="EF56" s="14">
        <v>0</v>
      </c>
      <c r="EG56" s="14">
        <v>0</v>
      </c>
      <c r="EH56" s="14">
        <v>0</v>
      </c>
      <c r="EI56" s="14">
        <v>0</v>
      </c>
      <c r="EJ56" s="14">
        <v>0</v>
      </c>
      <c r="EK56" s="14">
        <v>0</v>
      </c>
      <c r="EL56" s="14">
        <v>0</v>
      </c>
      <c r="EM56" s="14">
        <v>0</v>
      </c>
      <c r="EN56" s="14">
        <v>0</v>
      </c>
      <c r="EO56" s="57">
        <v>34</v>
      </c>
      <c r="EP56" s="12" t="s">
        <v>47</v>
      </c>
      <c r="EQ56" s="24">
        <f>SUM(ES56:FB56)</f>
        <v>0</v>
      </c>
      <c r="ER56" s="14">
        <v>0</v>
      </c>
      <c r="ES56" s="14">
        <v>0</v>
      </c>
      <c r="ET56" s="14">
        <v>0</v>
      </c>
      <c r="EU56" s="14">
        <v>0</v>
      </c>
      <c r="EV56" s="14">
        <v>0</v>
      </c>
      <c r="EW56" s="14">
        <v>0</v>
      </c>
      <c r="EX56" s="14">
        <v>0</v>
      </c>
      <c r="EY56" s="14">
        <v>0</v>
      </c>
      <c r="EZ56" s="14">
        <v>0</v>
      </c>
      <c r="FA56" s="14">
        <v>0</v>
      </c>
      <c r="FB56" s="14">
        <v>0</v>
      </c>
    </row>
    <row r="57" spans="1:877" s="4" customFormat="1" ht="10.5" customHeight="1" x14ac:dyDescent="0.2">
      <c r="A57" s="57">
        <v>35</v>
      </c>
      <c r="B57" s="12" t="s">
        <v>48</v>
      </c>
      <c r="C57" s="24">
        <f t="shared" ref="C57:C58" si="98">SUM(E57:N57)</f>
        <v>0</v>
      </c>
      <c r="D57" s="14"/>
      <c r="E57" s="14">
        <f t="shared" ref="E57:E59" si="99">S57+Y57+AE57+AY57+BM57+AK57+CA57+CO57+DC57+DQ57+EE57+ES57</f>
        <v>0</v>
      </c>
      <c r="F57" s="14">
        <f t="shared" ref="F57:F59" si="100">T57+Z57+AF57+AZ57+BN57+AL57+CB57+CP57+DD57+DR57+EF57+ET57</f>
        <v>0</v>
      </c>
      <c r="G57" s="14">
        <f t="shared" ref="G57:G59" si="101">AM57+AZ57+BO57+CC57+CQ57+DE57+DS57+EG57+EU57</f>
        <v>0</v>
      </c>
      <c r="H57" s="14">
        <f t="shared" si="97"/>
        <v>0</v>
      </c>
      <c r="I57" s="14">
        <f t="shared" si="97"/>
        <v>0</v>
      </c>
      <c r="J57" s="14">
        <f t="shared" si="97"/>
        <v>0</v>
      </c>
      <c r="K57" s="14">
        <f t="shared" si="97"/>
        <v>0</v>
      </c>
      <c r="L57" s="14">
        <f t="shared" si="97"/>
        <v>0</v>
      </c>
      <c r="M57" s="14">
        <f t="shared" si="97"/>
        <v>0</v>
      </c>
      <c r="N57" s="14">
        <f t="shared" si="97"/>
        <v>0</v>
      </c>
      <c r="O57" s="57">
        <v>35</v>
      </c>
      <c r="P57" s="12" t="s">
        <v>48</v>
      </c>
      <c r="Q57" s="24">
        <f>S57+T57</f>
        <v>0</v>
      </c>
      <c r="R57" s="14">
        <v>0</v>
      </c>
      <c r="S57" s="14">
        <v>0</v>
      </c>
      <c r="T57" s="14">
        <v>0</v>
      </c>
      <c r="U57" s="57">
        <v>35</v>
      </c>
      <c r="V57" s="12" t="s">
        <v>48</v>
      </c>
      <c r="W57" s="24">
        <f>Y57+Z57</f>
        <v>0</v>
      </c>
      <c r="X57" s="14">
        <v>0</v>
      </c>
      <c r="Y57" s="14">
        <v>0</v>
      </c>
      <c r="Z57" s="14">
        <v>0</v>
      </c>
      <c r="AA57" s="57">
        <v>35</v>
      </c>
      <c r="AB57" s="12" t="s">
        <v>48</v>
      </c>
      <c r="AC57" s="24">
        <f>AE57+AF57</f>
        <v>0</v>
      </c>
      <c r="AD57" s="14">
        <v>0</v>
      </c>
      <c r="AE57" s="14">
        <v>0</v>
      </c>
      <c r="AF57" s="14">
        <v>0</v>
      </c>
      <c r="AG57" s="57">
        <v>35</v>
      </c>
      <c r="AH57" s="12" t="s">
        <v>48</v>
      </c>
      <c r="AI57" s="24">
        <f>SUM(AK57:AT57)</f>
        <v>0</v>
      </c>
      <c r="AJ57" s="14">
        <v>0</v>
      </c>
      <c r="AK57" s="14">
        <v>0</v>
      </c>
      <c r="AL57" s="14">
        <v>0</v>
      </c>
      <c r="AM57" s="14">
        <v>0</v>
      </c>
      <c r="AN57" s="14">
        <v>0</v>
      </c>
      <c r="AO57" s="14">
        <v>0</v>
      </c>
      <c r="AP57" s="14">
        <v>0</v>
      </c>
      <c r="AQ57" s="14">
        <v>0</v>
      </c>
      <c r="AR57" s="14">
        <v>0</v>
      </c>
      <c r="AS57" s="14">
        <v>0</v>
      </c>
      <c r="AT57" s="14">
        <v>0</v>
      </c>
      <c r="AU57" s="57">
        <v>35</v>
      </c>
      <c r="AV57" s="12" t="s">
        <v>48</v>
      </c>
      <c r="AW57" s="24">
        <f>SUM(AY57:BH57)</f>
        <v>0</v>
      </c>
      <c r="AX57" s="14">
        <v>0</v>
      </c>
      <c r="AY57" s="14">
        <v>0</v>
      </c>
      <c r="AZ57" s="14">
        <v>0</v>
      </c>
      <c r="BA57" s="14">
        <v>0</v>
      </c>
      <c r="BB57" s="14">
        <v>0</v>
      </c>
      <c r="BC57" s="14">
        <v>0</v>
      </c>
      <c r="BD57" s="14">
        <v>0</v>
      </c>
      <c r="BE57" s="14">
        <v>0</v>
      </c>
      <c r="BF57" s="14">
        <v>0</v>
      </c>
      <c r="BG57" s="14">
        <v>0</v>
      </c>
      <c r="BH57" s="14">
        <v>0</v>
      </c>
      <c r="BI57" s="57">
        <v>35</v>
      </c>
      <c r="BJ57" s="12" t="s">
        <v>48</v>
      </c>
      <c r="BK57" s="24">
        <f>SUM(BM57:BV57)</f>
        <v>0</v>
      </c>
      <c r="BL57" s="14">
        <v>0</v>
      </c>
      <c r="BM57" s="14">
        <v>0</v>
      </c>
      <c r="BN57" s="14">
        <v>0</v>
      </c>
      <c r="BO57" s="14">
        <v>0</v>
      </c>
      <c r="BP57" s="14">
        <v>0</v>
      </c>
      <c r="BQ57" s="14">
        <v>0</v>
      </c>
      <c r="BR57" s="14">
        <v>0</v>
      </c>
      <c r="BS57" s="14">
        <v>0</v>
      </c>
      <c r="BT57" s="14">
        <v>0</v>
      </c>
      <c r="BU57" s="14">
        <v>0</v>
      </c>
      <c r="BV57" s="14">
        <v>0</v>
      </c>
      <c r="BW57" s="57">
        <v>35</v>
      </c>
      <c r="BX57" s="12" t="s">
        <v>48</v>
      </c>
      <c r="BY57" s="24">
        <f>SUM(CA57:CJ57)</f>
        <v>0</v>
      </c>
      <c r="BZ57" s="14">
        <v>0</v>
      </c>
      <c r="CA57" s="14">
        <v>0</v>
      </c>
      <c r="CB57" s="14">
        <v>0</v>
      </c>
      <c r="CC57" s="14">
        <v>0</v>
      </c>
      <c r="CD57" s="14">
        <v>0</v>
      </c>
      <c r="CE57" s="14">
        <v>0</v>
      </c>
      <c r="CF57" s="14">
        <v>0</v>
      </c>
      <c r="CG57" s="14">
        <v>0</v>
      </c>
      <c r="CH57" s="14">
        <v>0</v>
      </c>
      <c r="CI57" s="14">
        <v>0</v>
      </c>
      <c r="CJ57" s="14">
        <v>0</v>
      </c>
      <c r="CK57" s="57">
        <v>35</v>
      </c>
      <c r="CL57" s="12" t="s">
        <v>48</v>
      </c>
      <c r="CM57" s="24">
        <f>SUM(CO57:CX57)</f>
        <v>0</v>
      </c>
      <c r="CN57" s="14">
        <v>0</v>
      </c>
      <c r="CO57" s="14">
        <v>0</v>
      </c>
      <c r="CP57" s="14">
        <v>0</v>
      </c>
      <c r="CQ57" s="14">
        <v>0</v>
      </c>
      <c r="CR57" s="14">
        <v>0</v>
      </c>
      <c r="CS57" s="14">
        <v>0</v>
      </c>
      <c r="CT57" s="14">
        <v>0</v>
      </c>
      <c r="CU57" s="14">
        <v>0</v>
      </c>
      <c r="CV57" s="14">
        <v>0</v>
      </c>
      <c r="CW57" s="14">
        <v>0</v>
      </c>
      <c r="CX57" s="14">
        <v>0</v>
      </c>
      <c r="CY57" s="57">
        <v>35</v>
      </c>
      <c r="CZ57" s="12" t="s">
        <v>48</v>
      </c>
      <c r="DA57" s="24">
        <f>SUM(DC57:DL57)</f>
        <v>0</v>
      </c>
      <c r="DB57" s="14">
        <v>0</v>
      </c>
      <c r="DC57" s="14">
        <v>0</v>
      </c>
      <c r="DD57" s="14">
        <v>0</v>
      </c>
      <c r="DE57" s="14">
        <v>0</v>
      </c>
      <c r="DF57" s="14">
        <v>0</v>
      </c>
      <c r="DG57" s="14">
        <v>0</v>
      </c>
      <c r="DH57" s="14">
        <v>0</v>
      </c>
      <c r="DI57" s="14">
        <v>0</v>
      </c>
      <c r="DJ57" s="14">
        <v>0</v>
      </c>
      <c r="DK57" s="14">
        <v>0</v>
      </c>
      <c r="DL57" s="14">
        <v>0</v>
      </c>
      <c r="DM57" s="57">
        <v>35</v>
      </c>
      <c r="DN57" s="12" t="s">
        <v>48</v>
      </c>
      <c r="DO57" s="24">
        <f>SUM(DQ57:DZ57)</f>
        <v>0</v>
      </c>
      <c r="DP57" s="14">
        <v>0</v>
      </c>
      <c r="DQ57" s="14">
        <v>0</v>
      </c>
      <c r="DR57" s="14">
        <v>0</v>
      </c>
      <c r="DS57" s="14">
        <v>0</v>
      </c>
      <c r="DT57" s="14">
        <v>0</v>
      </c>
      <c r="DU57" s="14">
        <v>0</v>
      </c>
      <c r="DV57" s="14">
        <v>0</v>
      </c>
      <c r="DW57" s="14">
        <v>0</v>
      </c>
      <c r="DX57" s="14">
        <v>0</v>
      </c>
      <c r="DY57" s="14">
        <v>0</v>
      </c>
      <c r="DZ57" s="14">
        <v>0</v>
      </c>
      <c r="EA57" s="57">
        <v>35</v>
      </c>
      <c r="EB57" s="12" t="s">
        <v>48</v>
      </c>
      <c r="EC57" s="24">
        <f>SUM(EE57:EN57)</f>
        <v>0</v>
      </c>
      <c r="ED57" s="14">
        <v>0</v>
      </c>
      <c r="EE57" s="14">
        <v>0</v>
      </c>
      <c r="EF57" s="14">
        <v>0</v>
      </c>
      <c r="EG57" s="14">
        <v>0</v>
      </c>
      <c r="EH57" s="14">
        <v>0</v>
      </c>
      <c r="EI57" s="14">
        <v>0</v>
      </c>
      <c r="EJ57" s="14">
        <v>0</v>
      </c>
      <c r="EK57" s="14">
        <v>0</v>
      </c>
      <c r="EL57" s="14">
        <v>0</v>
      </c>
      <c r="EM57" s="14">
        <v>0</v>
      </c>
      <c r="EN57" s="14">
        <v>0</v>
      </c>
      <c r="EO57" s="57">
        <v>35</v>
      </c>
      <c r="EP57" s="12" t="s">
        <v>48</v>
      </c>
      <c r="EQ57" s="24">
        <f>SUM(ES57:FB57)</f>
        <v>0</v>
      </c>
      <c r="ER57" s="14">
        <v>0</v>
      </c>
      <c r="ES57" s="14">
        <v>0</v>
      </c>
      <c r="ET57" s="14">
        <v>0</v>
      </c>
      <c r="EU57" s="14">
        <v>0</v>
      </c>
      <c r="EV57" s="14">
        <v>0</v>
      </c>
      <c r="EW57" s="14">
        <v>0</v>
      </c>
      <c r="EX57" s="14">
        <v>0</v>
      </c>
      <c r="EY57" s="14">
        <v>0</v>
      </c>
      <c r="EZ57" s="14">
        <v>0</v>
      </c>
      <c r="FA57" s="14">
        <v>0</v>
      </c>
      <c r="FB57" s="14">
        <v>0</v>
      </c>
    </row>
    <row r="58" spans="1:877" s="4" customFormat="1" ht="10.5" customHeight="1" x14ac:dyDescent="0.2">
      <c r="A58" s="57">
        <v>36</v>
      </c>
      <c r="B58" s="12" t="s">
        <v>49</v>
      </c>
      <c r="C58" s="24">
        <f t="shared" si="98"/>
        <v>0</v>
      </c>
      <c r="D58" s="14"/>
      <c r="E58" s="14">
        <f t="shared" si="99"/>
        <v>0</v>
      </c>
      <c r="F58" s="14">
        <f t="shared" si="100"/>
        <v>0</v>
      </c>
      <c r="G58" s="14">
        <f t="shared" si="101"/>
        <v>0</v>
      </c>
      <c r="H58" s="14">
        <f t="shared" si="97"/>
        <v>0</v>
      </c>
      <c r="I58" s="14">
        <f t="shared" si="97"/>
        <v>0</v>
      </c>
      <c r="J58" s="14">
        <f t="shared" si="97"/>
        <v>0</v>
      </c>
      <c r="K58" s="14">
        <f t="shared" si="97"/>
        <v>0</v>
      </c>
      <c r="L58" s="14">
        <f t="shared" si="97"/>
        <v>0</v>
      </c>
      <c r="M58" s="14">
        <f t="shared" si="97"/>
        <v>0</v>
      </c>
      <c r="N58" s="14">
        <f t="shared" si="97"/>
        <v>0</v>
      </c>
      <c r="O58" s="57">
        <v>36</v>
      </c>
      <c r="P58" s="12" t="s">
        <v>49</v>
      </c>
      <c r="Q58" s="24">
        <f>S58+T58</f>
        <v>0</v>
      </c>
      <c r="R58" s="14">
        <v>0</v>
      </c>
      <c r="S58" s="14">
        <v>0</v>
      </c>
      <c r="T58" s="14">
        <v>0</v>
      </c>
      <c r="U58" s="57">
        <v>36</v>
      </c>
      <c r="V58" s="12" t="s">
        <v>49</v>
      </c>
      <c r="W58" s="24">
        <f>Y58+Z58</f>
        <v>0</v>
      </c>
      <c r="X58" s="14">
        <v>0</v>
      </c>
      <c r="Y58" s="14">
        <v>0</v>
      </c>
      <c r="Z58" s="14">
        <v>0</v>
      </c>
      <c r="AA58" s="57">
        <v>36</v>
      </c>
      <c r="AB58" s="12" t="s">
        <v>49</v>
      </c>
      <c r="AC58" s="24">
        <f>AE58+AF58</f>
        <v>0</v>
      </c>
      <c r="AD58" s="14">
        <v>0</v>
      </c>
      <c r="AE58" s="14">
        <v>0</v>
      </c>
      <c r="AF58" s="14">
        <v>0</v>
      </c>
      <c r="AG58" s="57">
        <v>36</v>
      </c>
      <c r="AH58" s="12" t="s">
        <v>49</v>
      </c>
      <c r="AI58" s="24">
        <f>SUM(AK58:AT58)</f>
        <v>0</v>
      </c>
      <c r="AJ58" s="14">
        <v>0</v>
      </c>
      <c r="AK58" s="14">
        <v>0</v>
      </c>
      <c r="AL58" s="14">
        <v>0</v>
      </c>
      <c r="AM58" s="14">
        <v>0</v>
      </c>
      <c r="AN58" s="14">
        <v>0</v>
      </c>
      <c r="AO58" s="14">
        <v>0</v>
      </c>
      <c r="AP58" s="14">
        <v>0</v>
      </c>
      <c r="AQ58" s="14">
        <v>0</v>
      </c>
      <c r="AR58" s="14">
        <v>0</v>
      </c>
      <c r="AS58" s="14">
        <v>0</v>
      </c>
      <c r="AT58" s="14">
        <v>0</v>
      </c>
      <c r="AU58" s="57">
        <v>36</v>
      </c>
      <c r="AV58" s="12" t="s">
        <v>49</v>
      </c>
      <c r="AW58" s="24">
        <f>SUM(AY58:BH58)</f>
        <v>0</v>
      </c>
      <c r="AX58" s="14">
        <v>0</v>
      </c>
      <c r="AY58" s="14">
        <v>0</v>
      </c>
      <c r="AZ58" s="14">
        <v>0</v>
      </c>
      <c r="BA58" s="14">
        <v>0</v>
      </c>
      <c r="BB58" s="14">
        <v>0</v>
      </c>
      <c r="BC58" s="14">
        <v>0</v>
      </c>
      <c r="BD58" s="14">
        <v>0</v>
      </c>
      <c r="BE58" s="14">
        <v>0</v>
      </c>
      <c r="BF58" s="14">
        <v>0</v>
      </c>
      <c r="BG58" s="14">
        <v>0</v>
      </c>
      <c r="BH58" s="14">
        <v>0</v>
      </c>
      <c r="BI58" s="57">
        <v>36</v>
      </c>
      <c r="BJ58" s="12" t="s">
        <v>49</v>
      </c>
      <c r="BK58" s="24">
        <f>SUM(BM58:BV58)</f>
        <v>0</v>
      </c>
      <c r="BL58" s="14">
        <v>0</v>
      </c>
      <c r="BM58" s="14">
        <v>0</v>
      </c>
      <c r="BN58" s="14">
        <v>0</v>
      </c>
      <c r="BO58" s="14">
        <v>0</v>
      </c>
      <c r="BP58" s="14">
        <v>0</v>
      </c>
      <c r="BQ58" s="14">
        <v>0</v>
      </c>
      <c r="BR58" s="14">
        <v>0</v>
      </c>
      <c r="BS58" s="14">
        <v>0</v>
      </c>
      <c r="BT58" s="14">
        <v>0</v>
      </c>
      <c r="BU58" s="14">
        <v>0</v>
      </c>
      <c r="BV58" s="14">
        <v>0</v>
      </c>
      <c r="BW58" s="57">
        <v>36</v>
      </c>
      <c r="BX58" s="12" t="s">
        <v>49</v>
      </c>
      <c r="BY58" s="24">
        <f>SUM(CA58:CJ58)</f>
        <v>0</v>
      </c>
      <c r="BZ58" s="14">
        <v>0</v>
      </c>
      <c r="CA58" s="14">
        <v>0</v>
      </c>
      <c r="CB58" s="14">
        <v>0</v>
      </c>
      <c r="CC58" s="14">
        <v>0</v>
      </c>
      <c r="CD58" s="14">
        <v>0</v>
      </c>
      <c r="CE58" s="14">
        <v>0</v>
      </c>
      <c r="CF58" s="14">
        <v>0</v>
      </c>
      <c r="CG58" s="14">
        <v>0</v>
      </c>
      <c r="CH58" s="14">
        <v>0</v>
      </c>
      <c r="CI58" s="14">
        <v>0</v>
      </c>
      <c r="CJ58" s="14">
        <v>0</v>
      </c>
      <c r="CK58" s="57">
        <v>36</v>
      </c>
      <c r="CL58" s="12" t="s">
        <v>49</v>
      </c>
      <c r="CM58" s="24">
        <f>SUM(CO58:CX58)</f>
        <v>0</v>
      </c>
      <c r="CN58" s="14">
        <v>0</v>
      </c>
      <c r="CO58" s="14">
        <v>0</v>
      </c>
      <c r="CP58" s="14">
        <v>0</v>
      </c>
      <c r="CQ58" s="14">
        <v>0</v>
      </c>
      <c r="CR58" s="14">
        <v>0</v>
      </c>
      <c r="CS58" s="14">
        <v>0</v>
      </c>
      <c r="CT58" s="14">
        <v>0</v>
      </c>
      <c r="CU58" s="14">
        <v>0</v>
      </c>
      <c r="CV58" s="14">
        <v>0</v>
      </c>
      <c r="CW58" s="14">
        <v>0</v>
      </c>
      <c r="CX58" s="14">
        <v>0</v>
      </c>
      <c r="CY58" s="57">
        <v>36</v>
      </c>
      <c r="CZ58" s="12" t="s">
        <v>49</v>
      </c>
      <c r="DA58" s="24">
        <f>SUM(DC58:DL58)</f>
        <v>0</v>
      </c>
      <c r="DB58" s="14">
        <v>0</v>
      </c>
      <c r="DC58" s="14">
        <v>0</v>
      </c>
      <c r="DD58" s="14">
        <v>0</v>
      </c>
      <c r="DE58" s="14">
        <v>0</v>
      </c>
      <c r="DF58" s="14">
        <v>0</v>
      </c>
      <c r="DG58" s="14">
        <v>0</v>
      </c>
      <c r="DH58" s="14">
        <v>0</v>
      </c>
      <c r="DI58" s="14">
        <v>0</v>
      </c>
      <c r="DJ58" s="14">
        <v>0</v>
      </c>
      <c r="DK58" s="14">
        <v>0</v>
      </c>
      <c r="DL58" s="14">
        <v>0</v>
      </c>
      <c r="DM58" s="57">
        <v>36</v>
      </c>
      <c r="DN58" s="12" t="s">
        <v>49</v>
      </c>
      <c r="DO58" s="24">
        <f>SUM(DQ58:DZ58)</f>
        <v>0</v>
      </c>
      <c r="DP58" s="14">
        <v>0</v>
      </c>
      <c r="DQ58" s="14">
        <v>0</v>
      </c>
      <c r="DR58" s="14">
        <v>0</v>
      </c>
      <c r="DS58" s="14">
        <v>0</v>
      </c>
      <c r="DT58" s="14">
        <v>0</v>
      </c>
      <c r="DU58" s="14">
        <v>0</v>
      </c>
      <c r="DV58" s="14">
        <v>0</v>
      </c>
      <c r="DW58" s="14">
        <v>0</v>
      </c>
      <c r="DX58" s="14">
        <v>0</v>
      </c>
      <c r="DY58" s="14">
        <v>0</v>
      </c>
      <c r="DZ58" s="14">
        <v>0</v>
      </c>
      <c r="EA58" s="57">
        <v>36</v>
      </c>
      <c r="EB58" s="12" t="s">
        <v>49</v>
      </c>
      <c r="EC58" s="24">
        <f>SUM(EE58:EN58)</f>
        <v>0</v>
      </c>
      <c r="ED58" s="14">
        <v>0</v>
      </c>
      <c r="EE58" s="14">
        <v>0</v>
      </c>
      <c r="EF58" s="14">
        <v>0</v>
      </c>
      <c r="EG58" s="14">
        <v>0</v>
      </c>
      <c r="EH58" s="14">
        <v>0</v>
      </c>
      <c r="EI58" s="14">
        <v>0</v>
      </c>
      <c r="EJ58" s="14">
        <v>0</v>
      </c>
      <c r="EK58" s="14">
        <v>0</v>
      </c>
      <c r="EL58" s="14">
        <v>0</v>
      </c>
      <c r="EM58" s="14">
        <v>0</v>
      </c>
      <c r="EN58" s="14">
        <v>0</v>
      </c>
      <c r="EO58" s="57">
        <v>36</v>
      </c>
      <c r="EP58" s="12" t="s">
        <v>49</v>
      </c>
      <c r="EQ58" s="24">
        <f>SUM(ES58:FB58)</f>
        <v>0</v>
      </c>
      <c r="ER58" s="14">
        <v>0</v>
      </c>
      <c r="ES58" s="14">
        <v>0</v>
      </c>
      <c r="ET58" s="14">
        <v>0</v>
      </c>
      <c r="EU58" s="14">
        <v>0</v>
      </c>
      <c r="EV58" s="14">
        <v>0</v>
      </c>
      <c r="EW58" s="14">
        <v>0</v>
      </c>
      <c r="EX58" s="14">
        <v>0</v>
      </c>
      <c r="EY58" s="14">
        <v>0</v>
      </c>
      <c r="EZ58" s="14">
        <v>0</v>
      </c>
      <c r="FA58" s="14">
        <v>0</v>
      </c>
      <c r="FB58" s="14">
        <v>0</v>
      </c>
    </row>
    <row r="59" spans="1:877" s="4" customFormat="1" ht="12" customHeight="1" x14ac:dyDescent="0.2">
      <c r="A59" s="32"/>
      <c r="B59" s="36" t="s">
        <v>7</v>
      </c>
      <c r="C59" s="37">
        <f>SUM(C56:C58)</f>
        <v>0</v>
      </c>
      <c r="D59" s="37"/>
      <c r="E59" s="14">
        <f t="shared" si="99"/>
        <v>0</v>
      </c>
      <c r="F59" s="14">
        <f t="shared" si="100"/>
        <v>0</v>
      </c>
      <c r="G59" s="14">
        <f t="shared" si="101"/>
        <v>0</v>
      </c>
      <c r="H59" s="14">
        <f t="shared" si="97"/>
        <v>0</v>
      </c>
      <c r="I59" s="14">
        <f t="shared" si="97"/>
        <v>0</v>
      </c>
      <c r="J59" s="14">
        <f t="shared" si="97"/>
        <v>0</v>
      </c>
      <c r="K59" s="14">
        <f t="shared" si="97"/>
        <v>0</v>
      </c>
      <c r="L59" s="14">
        <f t="shared" si="97"/>
        <v>0</v>
      </c>
      <c r="M59" s="14">
        <f t="shared" si="97"/>
        <v>0</v>
      </c>
      <c r="N59" s="14">
        <f t="shared" si="97"/>
        <v>0</v>
      </c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60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60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60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65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65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65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  <c r="EO59" s="32"/>
      <c r="EP59" s="32"/>
      <c r="EQ59" s="60"/>
      <c r="ER59" s="32"/>
      <c r="ES59" s="32"/>
      <c r="ET59" s="32"/>
      <c r="EU59" s="32"/>
      <c r="EV59" s="32"/>
      <c r="EW59" s="32"/>
      <c r="EX59" s="32"/>
      <c r="EY59" s="32"/>
      <c r="EZ59" s="32"/>
      <c r="FA59" s="32"/>
      <c r="FB59" s="32"/>
    </row>
    <row r="60" spans="1:877" s="36" customFormat="1" ht="11.1" customHeight="1" x14ac:dyDescent="0.2">
      <c r="A60" s="57"/>
      <c r="B60" s="25" t="s">
        <v>50</v>
      </c>
      <c r="C60" s="13">
        <f>C54+C59</f>
        <v>7813807.8335999995</v>
      </c>
      <c r="D60" s="26"/>
      <c r="E60" s="26">
        <f t="shared" ref="E60:N60" si="102">E59+E54</f>
        <v>1699384.2399799996</v>
      </c>
      <c r="F60" s="26">
        <f t="shared" si="102"/>
        <v>1911559.90126</v>
      </c>
      <c r="G60" s="26">
        <f t="shared" si="102"/>
        <v>749757.64538</v>
      </c>
      <c r="H60" s="26">
        <f t="shared" si="102"/>
        <v>574989.57426000002</v>
      </c>
      <c r="I60" s="26">
        <f t="shared" si="102"/>
        <v>721383.90851999982</v>
      </c>
      <c r="J60" s="26">
        <f t="shared" si="102"/>
        <v>585613.80214000016</v>
      </c>
      <c r="K60" s="26">
        <f t="shared" si="102"/>
        <v>214368.30376000004</v>
      </c>
      <c r="L60" s="26">
        <f t="shared" si="102"/>
        <v>431743.42052000004</v>
      </c>
      <c r="M60" s="26">
        <f t="shared" si="102"/>
        <v>607915.72400000028</v>
      </c>
      <c r="N60" s="26">
        <f t="shared" si="102"/>
        <v>317091.31378000008</v>
      </c>
      <c r="O60" s="57"/>
      <c r="P60" s="25" t="s">
        <v>50</v>
      </c>
      <c r="Q60" s="13">
        <f>Q54+Q55</f>
        <v>439370.31000000006</v>
      </c>
      <c r="R60" s="22">
        <f>SUM(R17:R58)</f>
        <v>0</v>
      </c>
      <c r="S60" s="22">
        <f>S54+S55</f>
        <v>99388.346599999975</v>
      </c>
      <c r="T60" s="22">
        <f>T54+T55</f>
        <v>339981.25284000003</v>
      </c>
      <c r="U60" s="57"/>
      <c r="V60" s="25" t="s">
        <v>50</v>
      </c>
      <c r="W60" s="13">
        <f>W54+W55</f>
        <v>576142.03971999977</v>
      </c>
      <c r="X60" s="22">
        <f>SUM(X17:X58)</f>
        <v>0</v>
      </c>
      <c r="Y60" s="22">
        <f>Y54+Y55</f>
        <v>222593.67277999999</v>
      </c>
      <c r="Z60" s="22">
        <f>Z54+Z55</f>
        <v>353548.36693999998</v>
      </c>
      <c r="AA60" s="57"/>
      <c r="AB60" s="25" t="s">
        <v>50</v>
      </c>
      <c r="AC60" s="13">
        <f>AC54+AC55</f>
        <v>380785.30309999996</v>
      </c>
      <c r="AD60" s="22">
        <f>SUM(AD17:AD58)</f>
        <v>0</v>
      </c>
      <c r="AE60" s="22">
        <f>AE54+AE55</f>
        <v>216824.54793999999</v>
      </c>
      <c r="AF60" s="22">
        <f>AF54+AF55</f>
        <v>163960.06516</v>
      </c>
      <c r="AG60" s="57"/>
      <c r="AH60" s="25" t="s">
        <v>50</v>
      </c>
      <c r="AI60" s="13">
        <f>AI54+AI55</f>
        <v>746981.57415999996</v>
      </c>
      <c r="AJ60" s="22">
        <f>SUM(AJ17:AJ58)</f>
        <v>0</v>
      </c>
      <c r="AK60" s="22">
        <f t="shared" ref="AK60:AT60" si="103">AK54+AK55</f>
        <v>197247.31306000001</v>
      </c>
      <c r="AL60" s="22">
        <f t="shared" si="103"/>
        <v>513116.53110000002</v>
      </c>
      <c r="AM60" s="22">
        <f t="shared" si="103"/>
        <v>6447.51</v>
      </c>
      <c r="AN60" s="22">
        <f t="shared" si="103"/>
        <v>4407.03</v>
      </c>
      <c r="AO60" s="22">
        <f t="shared" si="103"/>
        <v>7757.5199999999995</v>
      </c>
      <c r="AP60" s="22">
        <f t="shared" si="103"/>
        <v>4607.0199999999995</v>
      </c>
      <c r="AQ60" s="22">
        <f t="shared" si="103"/>
        <v>1675.64</v>
      </c>
      <c r="AR60" s="22">
        <f t="shared" si="103"/>
        <v>3450.9300000000003</v>
      </c>
      <c r="AS60" s="22">
        <f t="shared" si="103"/>
        <v>5403.2400000000007</v>
      </c>
      <c r="AT60" s="22">
        <f t="shared" si="103"/>
        <v>2868.84</v>
      </c>
      <c r="AU60" s="57"/>
      <c r="AV60" s="25" t="s">
        <v>50</v>
      </c>
      <c r="AW60" s="13">
        <f>AW54+AW55</f>
        <v>705570.11518000008</v>
      </c>
      <c r="AX60" s="22">
        <f>SUM(AX17:AX58)</f>
        <v>0</v>
      </c>
      <c r="AY60" s="22">
        <f t="shared" ref="AY60:BH60" si="104">AY54+AY55</f>
        <v>155770.19414000001</v>
      </c>
      <c r="AZ60" s="22">
        <f t="shared" si="104"/>
        <v>58156.146699999998</v>
      </c>
      <c r="BA60" s="22">
        <f t="shared" si="104"/>
        <v>87117.104380000004</v>
      </c>
      <c r="BB60" s="22">
        <f t="shared" si="104"/>
        <v>56624.700399999994</v>
      </c>
      <c r="BC60" s="22">
        <f t="shared" si="104"/>
        <v>81866.499080000009</v>
      </c>
      <c r="BD60" s="22">
        <f t="shared" si="104"/>
        <v>70929.52224000002</v>
      </c>
      <c r="BE60" s="22">
        <f t="shared" si="104"/>
        <v>25905.27046</v>
      </c>
      <c r="BF60" s="22">
        <f t="shared" si="104"/>
        <v>54922.031779999998</v>
      </c>
      <c r="BG60" s="22">
        <f t="shared" si="104"/>
        <v>77112.369899999991</v>
      </c>
      <c r="BH60" s="22">
        <f t="shared" si="104"/>
        <v>37166.27610000001</v>
      </c>
      <c r="BI60" s="57"/>
      <c r="BJ60" s="25" t="s">
        <v>50</v>
      </c>
      <c r="BK60" s="13">
        <f>BK54+BK55</f>
        <v>651892.12686000008</v>
      </c>
      <c r="BL60" s="22">
        <f>SUM(BL17:BL58)</f>
        <v>0</v>
      </c>
      <c r="BM60" s="22">
        <f t="shared" ref="BM60:BV60" si="105">BM54+BM55</f>
        <v>107796.102</v>
      </c>
      <c r="BN60" s="22">
        <f t="shared" si="105"/>
        <v>51627.807539999994</v>
      </c>
      <c r="BO60" s="22">
        <f t="shared" si="105"/>
        <v>84348.015639999983</v>
      </c>
      <c r="BP60" s="22">
        <f t="shared" si="105"/>
        <v>54820.833300000013</v>
      </c>
      <c r="BQ60" s="22">
        <f t="shared" si="105"/>
        <v>87442.417720000012</v>
      </c>
      <c r="BR60" s="22">
        <f t="shared" si="105"/>
        <v>73400.443679999997</v>
      </c>
      <c r="BS60" s="22">
        <f t="shared" si="105"/>
        <v>26594.00908</v>
      </c>
      <c r="BT60" s="22">
        <f t="shared" si="105"/>
        <v>54476.574619999985</v>
      </c>
      <c r="BU60" s="22">
        <f t="shared" si="105"/>
        <v>76480.636600000013</v>
      </c>
      <c r="BV60" s="22">
        <f t="shared" si="105"/>
        <v>34905.286680000005</v>
      </c>
      <c r="BW60" s="57"/>
      <c r="BX60" s="25" t="s">
        <v>50</v>
      </c>
      <c r="BY60" s="13">
        <f>BY54+BY55</f>
        <v>618385.18166</v>
      </c>
      <c r="BZ60" s="22">
        <f>SUM(BZ17:BZ58)</f>
        <v>0</v>
      </c>
      <c r="CA60" s="22">
        <f t="shared" ref="CA60:CJ60" si="106">CA54+CA55</f>
        <v>127530.37358</v>
      </c>
      <c r="CB60" s="22">
        <f t="shared" si="106"/>
        <v>48918.130679999995</v>
      </c>
      <c r="CC60" s="22">
        <f t="shared" si="106"/>
        <v>76520.833540000007</v>
      </c>
      <c r="CD60" s="22">
        <f t="shared" si="106"/>
        <v>47411.37107999999</v>
      </c>
      <c r="CE60" s="22">
        <f t="shared" si="106"/>
        <v>72512.581919999997</v>
      </c>
      <c r="CF60" s="22">
        <f t="shared" si="106"/>
        <v>67556.972959999999</v>
      </c>
      <c r="CG60" s="22">
        <f t="shared" si="106"/>
        <v>26583.752620000003</v>
      </c>
      <c r="CH60" s="22">
        <f t="shared" si="106"/>
        <v>49210.27708</v>
      </c>
      <c r="CI60" s="22">
        <f t="shared" si="106"/>
        <v>69079.502560000008</v>
      </c>
      <c r="CJ60" s="22">
        <f t="shared" si="106"/>
        <v>33061.38564</v>
      </c>
      <c r="CK60" s="57"/>
      <c r="CL60" s="25" t="s">
        <v>50</v>
      </c>
      <c r="CM60" s="13">
        <f>CM54+CM55</f>
        <v>630912.32478000002</v>
      </c>
      <c r="CN60" s="22">
        <f>SUM(CN17:CN58)</f>
        <v>0</v>
      </c>
      <c r="CO60" s="22">
        <f t="shared" ref="CO60:CX60" si="107">CO54+CO55</f>
        <v>59684.177899999981</v>
      </c>
      <c r="CP60" s="22">
        <f t="shared" si="107"/>
        <v>63281.581999999995</v>
      </c>
      <c r="CQ60" s="22">
        <f t="shared" si="107"/>
        <v>113202.31958000001</v>
      </c>
      <c r="CR60" s="22">
        <f t="shared" si="107"/>
        <v>53390.102120000003</v>
      </c>
      <c r="CS60" s="22">
        <f t="shared" si="107"/>
        <v>76502.997860000003</v>
      </c>
      <c r="CT60" s="22">
        <f t="shared" si="107"/>
        <v>78416.062780000007</v>
      </c>
      <c r="CU60" s="22">
        <f t="shared" si="107"/>
        <v>28482.23288</v>
      </c>
      <c r="CV60" s="22">
        <f t="shared" si="107"/>
        <v>50997.375160000003</v>
      </c>
      <c r="CW60" s="22">
        <f t="shared" si="107"/>
        <v>72926.65552</v>
      </c>
      <c r="CX60" s="22">
        <f t="shared" si="107"/>
        <v>34028.818980000004</v>
      </c>
      <c r="CY60" s="57"/>
      <c r="CZ60" s="25" t="s">
        <v>50</v>
      </c>
      <c r="DA60" s="13">
        <f>DA54+DA55</f>
        <v>670729.83799999999</v>
      </c>
      <c r="DB60" s="22">
        <f>SUM(DB17:DB58)</f>
        <v>0</v>
      </c>
      <c r="DC60" s="22">
        <f t="shared" ref="DC60:DL60" si="108">DC54+DC55</f>
        <v>78666.978000000003</v>
      </c>
      <c r="DD60" s="22">
        <f t="shared" si="108"/>
        <v>62832.78</v>
      </c>
      <c r="DE60" s="22">
        <f t="shared" si="108"/>
        <v>98393.811999999991</v>
      </c>
      <c r="DF60" s="22">
        <f t="shared" si="108"/>
        <v>67543.470000000016</v>
      </c>
      <c r="DG60" s="22">
        <f t="shared" si="108"/>
        <v>95387.175999999992</v>
      </c>
      <c r="DH60" s="22">
        <f t="shared" si="108"/>
        <v>73611.850000000006</v>
      </c>
      <c r="DI60" s="22">
        <f t="shared" si="108"/>
        <v>26495.197999999993</v>
      </c>
      <c r="DJ60" s="22">
        <f t="shared" si="108"/>
        <v>54196.991999999998</v>
      </c>
      <c r="DK60" s="22">
        <f t="shared" si="108"/>
        <v>76468.823999999993</v>
      </c>
      <c r="DL60" s="22">
        <f t="shared" si="108"/>
        <v>37132.758000000002</v>
      </c>
      <c r="DM60" s="57"/>
      <c r="DN60" s="25" t="s">
        <v>50</v>
      </c>
      <c r="DO60" s="13">
        <f>DO54+DO55</f>
        <v>770336.58585999999</v>
      </c>
      <c r="DP60" s="22">
        <f>SUM(DP17:DP58)</f>
        <v>0</v>
      </c>
      <c r="DQ60" s="22">
        <f t="shared" ref="DQ60:DZ60" si="109">DQ54+DQ55</f>
        <v>156243.48801999999</v>
      </c>
      <c r="DR60" s="22">
        <f t="shared" si="109"/>
        <v>62596.909679999997</v>
      </c>
      <c r="DS60" s="22">
        <f t="shared" si="109"/>
        <v>87057.808919999981</v>
      </c>
      <c r="DT60" s="22">
        <f t="shared" si="109"/>
        <v>96909.571720000007</v>
      </c>
      <c r="DU60" s="22">
        <f t="shared" si="109"/>
        <v>82849.388599999991</v>
      </c>
      <c r="DV60" s="22">
        <f t="shared" si="109"/>
        <v>69534.396380000006</v>
      </c>
      <c r="DW60" s="22">
        <f t="shared" si="109"/>
        <v>25344.296140000002</v>
      </c>
      <c r="DX60" s="22">
        <f t="shared" si="109"/>
        <v>54747.964260000001</v>
      </c>
      <c r="DY60" s="22">
        <f t="shared" si="109"/>
        <v>76627.989300000001</v>
      </c>
      <c r="DZ60" s="22">
        <f t="shared" si="109"/>
        <v>58424.772839999998</v>
      </c>
      <c r="EA60" s="57"/>
      <c r="EB60" s="25" t="s">
        <v>50</v>
      </c>
      <c r="EC60" s="13">
        <f>EC54+EC55</f>
        <v>735181.29740000016</v>
      </c>
      <c r="ED60" s="22">
        <f>SUM(ED17:ED58)</f>
        <v>0</v>
      </c>
      <c r="EE60" s="22">
        <f t="shared" ref="EE60:EN60" si="110">EE54+EE55</f>
        <v>76157.837699999989</v>
      </c>
      <c r="EF60" s="22">
        <f t="shared" si="110"/>
        <v>131698.71295999998</v>
      </c>
      <c r="EG60" s="22">
        <f t="shared" si="110"/>
        <v>101979.29728000001</v>
      </c>
      <c r="EH60" s="22">
        <f t="shared" si="110"/>
        <v>67631.283939999994</v>
      </c>
      <c r="EI60" s="22">
        <f t="shared" si="110"/>
        <v>106118.93834000002</v>
      </c>
      <c r="EJ60" s="22">
        <f t="shared" si="110"/>
        <v>67347.873779999994</v>
      </c>
      <c r="EK60" s="22">
        <f t="shared" si="110"/>
        <v>24336.029800000004</v>
      </c>
      <c r="EL60" s="22">
        <f t="shared" si="110"/>
        <v>49862.973380000003</v>
      </c>
      <c r="EM60" s="22">
        <f t="shared" si="110"/>
        <v>70180.137780000005</v>
      </c>
      <c r="EN60" s="22">
        <f t="shared" si="110"/>
        <v>39868.212440000003</v>
      </c>
      <c r="EO60" s="57"/>
      <c r="EP60" s="25" t="s">
        <v>50</v>
      </c>
      <c r="EQ60" s="13">
        <f>EQ54+EQ55</f>
        <v>887522.5374400001</v>
      </c>
      <c r="ER60" s="22">
        <f>SUM(ER17:ER58)</f>
        <v>0</v>
      </c>
      <c r="ES60" s="22">
        <f t="shared" ref="ES60:FB60" si="111">ES54+ES55</f>
        <v>201481.20825999998</v>
      </c>
      <c r="ET60" s="22">
        <f t="shared" si="111"/>
        <v>61841.61566000001</v>
      </c>
      <c r="EU60" s="22">
        <f t="shared" si="111"/>
        <v>94690.944039999958</v>
      </c>
      <c r="EV60" s="22">
        <f t="shared" si="111"/>
        <v>126251.21170000003</v>
      </c>
      <c r="EW60" s="22">
        <f t="shared" si="111"/>
        <v>110946.38900000001</v>
      </c>
      <c r="EX60" s="22">
        <f t="shared" si="111"/>
        <v>80209.660320000025</v>
      </c>
      <c r="EY60" s="22">
        <f t="shared" si="111"/>
        <v>28951.874779999998</v>
      </c>
      <c r="EZ60" s="22">
        <f t="shared" si="111"/>
        <v>59878.302239999997</v>
      </c>
      <c r="FA60" s="22">
        <f t="shared" si="111"/>
        <v>83636.368340000001</v>
      </c>
      <c r="FB60" s="22">
        <f t="shared" si="111"/>
        <v>39634.963100000015</v>
      </c>
      <c r="FC60" s="43"/>
      <c r="FD60" s="43"/>
      <c r="FE60" s="43"/>
      <c r="FF60" s="43"/>
      <c r="FG60" s="43"/>
      <c r="FH60" s="43"/>
      <c r="FI60" s="43"/>
      <c r="FJ60" s="43"/>
      <c r="FK60" s="43"/>
      <c r="FL60" s="43"/>
      <c r="FM60" s="43"/>
      <c r="FN60" s="43"/>
      <c r="FO60" s="43"/>
      <c r="FP60" s="43"/>
      <c r="FQ60" s="43"/>
      <c r="FR60" s="43"/>
      <c r="FS60" s="43"/>
      <c r="FT60" s="43"/>
      <c r="FU60" s="43"/>
      <c r="FV60" s="43"/>
      <c r="FW60" s="43"/>
      <c r="FX60" s="43"/>
      <c r="FY60" s="43"/>
      <c r="FZ60" s="43"/>
      <c r="GA60" s="43"/>
      <c r="GB60" s="43"/>
      <c r="GC60" s="43"/>
      <c r="GD60" s="43"/>
      <c r="GE60" s="43"/>
      <c r="GF60" s="43"/>
      <c r="GG60" s="43"/>
      <c r="GH60" s="43"/>
      <c r="GI60" s="43"/>
      <c r="GJ60" s="43"/>
      <c r="GK60" s="43"/>
      <c r="GL60" s="43"/>
      <c r="GM60" s="43"/>
      <c r="GN60" s="43"/>
      <c r="GO60" s="43"/>
      <c r="GP60" s="43"/>
      <c r="GQ60" s="43"/>
      <c r="GR60" s="43"/>
      <c r="GS60" s="43"/>
      <c r="GT60" s="43"/>
      <c r="GU60" s="43"/>
      <c r="GV60" s="43"/>
      <c r="GW60" s="43"/>
      <c r="GX60" s="43"/>
      <c r="GY60" s="43"/>
      <c r="GZ60" s="43"/>
      <c r="HA60" s="43"/>
      <c r="HB60" s="43"/>
      <c r="HC60" s="43"/>
      <c r="HD60" s="43"/>
      <c r="HE60" s="43"/>
      <c r="HF60" s="43"/>
      <c r="HG60" s="43"/>
      <c r="HH60" s="43"/>
      <c r="HI60" s="43"/>
      <c r="HJ60" s="43"/>
      <c r="HK60" s="43"/>
      <c r="HL60" s="43"/>
      <c r="HM60" s="43"/>
      <c r="HN60" s="43"/>
      <c r="HO60" s="43"/>
      <c r="HP60" s="43"/>
      <c r="HQ60" s="43"/>
      <c r="HR60" s="43"/>
      <c r="HS60" s="43"/>
      <c r="HT60" s="43"/>
      <c r="HU60" s="43"/>
      <c r="HV60" s="43"/>
      <c r="HW60" s="43"/>
      <c r="HX60" s="43"/>
      <c r="HY60" s="43"/>
      <c r="HZ60" s="43"/>
      <c r="IA60" s="43"/>
      <c r="IB60" s="43"/>
      <c r="IC60" s="43"/>
      <c r="ID60" s="43"/>
      <c r="IE60" s="43"/>
      <c r="IF60" s="43"/>
      <c r="IG60" s="43"/>
      <c r="IH60" s="43"/>
      <c r="II60" s="43"/>
      <c r="IJ60" s="43"/>
      <c r="IK60" s="43"/>
      <c r="IL60" s="43"/>
      <c r="IM60" s="43"/>
      <c r="IN60" s="43"/>
      <c r="IO60" s="43"/>
      <c r="IP60" s="43"/>
      <c r="IQ60" s="43"/>
      <c r="IR60" s="43"/>
      <c r="IS60" s="43"/>
      <c r="IT60" s="43"/>
      <c r="IU60" s="43"/>
      <c r="IV60" s="43"/>
      <c r="IW60" s="43"/>
      <c r="IX60" s="43"/>
      <c r="IY60" s="43"/>
      <c r="IZ60" s="43"/>
      <c r="JA60" s="43"/>
      <c r="JB60" s="43"/>
      <c r="JC60" s="43"/>
      <c r="JD60" s="43"/>
      <c r="JE60" s="43"/>
      <c r="JF60" s="43"/>
      <c r="JG60" s="43"/>
      <c r="JH60" s="43"/>
      <c r="JI60" s="43"/>
      <c r="JJ60" s="43"/>
      <c r="JK60" s="43"/>
      <c r="JL60" s="43"/>
      <c r="JM60" s="43"/>
      <c r="JN60" s="43"/>
      <c r="JO60" s="43"/>
      <c r="JP60" s="43"/>
      <c r="JQ60" s="43"/>
      <c r="JR60" s="43"/>
      <c r="JS60" s="43"/>
      <c r="JT60" s="43"/>
      <c r="JU60" s="43"/>
      <c r="JV60" s="43"/>
      <c r="JW60" s="43"/>
      <c r="JX60" s="43"/>
      <c r="JY60" s="43"/>
      <c r="JZ60" s="43"/>
      <c r="KA60" s="43"/>
      <c r="KB60" s="43"/>
      <c r="KC60" s="43"/>
      <c r="KD60" s="43"/>
      <c r="KE60" s="43"/>
      <c r="KF60" s="43"/>
      <c r="KG60" s="43"/>
      <c r="KH60" s="43"/>
      <c r="KI60" s="43"/>
      <c r="KJ60" s="43"/>
      <c r="KK60" s="43"/>
      <c r="KL60" s="43"/>
      <c r="KM60" s="43"/>
      <c r="KN60" s="43"/>
      <c r="KO60" s="43"/>
      <c r="KP60" s="43"/>
      <c r="KQ60" s="43"/>
      <c r="KR60" s="43"/>
      <c r="KS60" s="43"/>
      <c r="KT60" s="43"/>
      <c r="KU60" s="43"/>
      <c r="KV60" s="43"/>
      <c r="KW60" s="43"/>
      <c r="KX60" s="43"/>
      <c r="KY60" s="43"/>
      <c r="KZ60" s="43"/>
      <c r="LA60" s="43"/>
      <c r="LB60" s="43"/>
      <c r="LC60" s="43"/>
      <c r="LD60" s="43"/>
      <c r="LE60" s="43"/>
      <c r="LF60" s="43"/>
      <c r="LG60" s="43"/>
      <c r="LH60" s="43"/>
      <c r="LI60" s="43"/>
      <c r="LJ60" s="43"/>
      <c r="LK60" s="43"/>
      <c r="LL60" s="43"/>
      <c r="LM60" s="43"/>
      <c r="LN60" s="43"/>
      <c r="LO60" s="43"/>
      <c r="LP60" s="43"/>
      <c r="LQ60" s="43"/>
      <c r="LR60" s="43"/>
      <c r="LS60" s="43"/>
      <c r="LT60" s="43"/>
      <c r="LU60" s="43"/>
      <c r="LV60" s="43"/>
      <c r="LW60" s="43"/>
      <c r="LX60" s="43"/>
      <c r="LY60" s="43"/>
      <c r="LZ60" s="43"/>
      <c r="MA60" s="43"/>
      <c r="MB60" s="43"/>
      <c r="MC60" s="43"/>
      <c r="MD60" s="43"/>
      <c r="ME60" s="43"/>
      <c r="MF60" s="43"/>
      <c r="MG60" s="43"/>
      <c r="MH60" s="43"/>
      <c r="MI60" s="43"/>
      <c r="MJ60" s="43"/>
      <c r="MK60" s="43"/>
      <c r="ML60" s="43"/>
      <c r="MM60" s="43"/>
      <c r="MN60" s="43"/>
      <c r="MO60" s="43"/>
      <c r="MP60" s="43"/>
      <c r="MQ60" s="43"/>
      <c r="MR60" s="43"/>
      <c r="MS60" s="43"/>
      <c r="MT60" s="43"/>
      <c r="MU60" s="43"/>
      <c r="MV60" s="43"/>
      <c r="MW60" s="43"/>
      <c r="MX60" s="43"/>
      <c r="MY60" s="43"/>
      <c r="MZ60" s="43"/>
      <c r="NA60" s="43"/>
      <c r="NB60" s="43"/>
      <c r="NC60" s="43"/>
      <c r="ND60" s="43"/>
      <c r="NE60" s="43"/>
      <c r="NF60" s="43"/>
      <c r="NG60" s="43"/>
      <c r="NH60" s="43"/>
      <c r="NI60" s="43"/>
      <c r="NJ60" s="43"/>
      <c r="NK60" s="43"/>
      <c r="NL60" s="43"/>
      <c r="NM60" s="43"/>
      <c r="NN60" s="43"/>
      <c r="NO60" s="43"/>
      <c r="NP60" s="43"/>
      <c r="NQ60" s="43"/>
      <c r="NR60" s="43"/>
      <c r="NS60" s="43"/>
      <c r="NT60" s="43"/>
      <c r="NU60" s="43"/>
      <c r="NV60" s="43"/>
      <c r="NW60" s="43"/>
      <c r="NX60" s="43"/>
      <c r="NY60" s="43"/>
      <c r="NZ60" s="43"/>
      <c r="OA60" s="43"/>
      <c r="OB60" s="43"/>
      <c r="OC60" s="43"/>
      <c r="OD60" s="43"/>
      <c r="OE60" s="43"/>
      <c r="OF60" s="43"/>
      <c r="OG60" s="43"/>
      <c r="OH60" s="43"/>
      <c r="OI60" s="43"/>
      <c r="OJ60" s="43"/>
      <c r="OK60" s="43"/>
      <c r="OL60" s="43"/>
      <c r="OM60" s="43"/>
      <c r="ON60" s="43"/>
      <c r="OO60" s="43"/>
      <c r="OP60" s="43"/>
      <c r="OQ60" s="43"/>
      <c r="OR60" s="43"/>
      <c r="OS60" s="43"/>
      <c r="OT60" s="43"/>
      <c r="OU60" s="43"/>
      <c r="OV60" s="43"/>
      <c r="OW60" s="43"/>
      <c r="OX60" s="43"/>
      <c r="OY60" s="43"/>
      <c r="OZ60" s="43"/>
      <c r="PA60" s="43"/>
      <c r="PB60" s="43"/>
      <c r="PC60" s="43"/>
      <c r="PD60" s="43"/>
      <c r="PE60" s="43"/>
      <c r="PF60" s="43"/>
      <c r="PG60" s="43"/>
      <c r="PH60" s="43"/>
      <c r="PI60" s="43"/>
      <c r="PJ60" s="43"/>
      <c r="PK60" s="43"/>
      <c r="PL60" s="43"/>
      <c r="PM60" s="43"/>
      <c r="PN60" s="43"/>
      <c r="PO60" s="43"/>
      <c r="PP60" s="43"/>
      <c r="PQ60" s="43"/>
      <c r="PR60" s="43"/>
      <c r="PS60" s="43"/>
      <c r="PT60" s="43"/>
      <c r="PU60" s="43"/>
      <c r="PV60" s="43"/>
      <c r="PW60" s="43"/>
      <c r="PX60" s="43"/>
      <c r="PY60" s="43"/>
      <c r="PZ60" s="43"/>
      <c r="QA60" s="43"/>
      <c r="QB60" s="43"/>
      <c r="QC60" s="43"/>
      <c r="QD60" s="43"/>
      <c r="QE60" s="43"/>
      <c r="QF60" s="43"/>
      <c r="QG60" s="43"/>
      <c r="QH60" s="43"/>
      <c r="QI60" s="43"/>
      <c r="QJ60" s="43"/>
      <c r="QK60" s="43"/>
      <c r="QL60" s="43"/>
      <c r="QM60" s="43"/>
      <c r="QN60" s="43"/>
      <c r="QO60" s="43"/>
      <c r="QP60" s="43"/>
      <c r="QQ60" s="43"/>
      <c r="QR60" s="43"/>
      <c r="QS60" s="43"/>
      <c r="QT60" s="43"/>
      <c r="QU60" s="43"/>
      <c r="QV60" s="43"/>
      <c r="QW60" s="43"/>
      <c r="QX60" s="43"/>
      <c r="QY60" s="43"/>
      <c r="QZ60" s="43"/>
      <c r="RA60" s="43"/>
      <c r="RB60" s="43"/>
      <c r="RC60" s="43"/>
      <c r="RD60" s="43"/>
      <c r="RE60" s="43"/>
      <c r="RF60" s="43"/>
      <c r="RG60" s="43"/>
      <c r="RH60" s="43"/>
      <c r="RI60" s="43"/>
      <c r="RJ60" s="43"/>
      <c r="RK60" s="43"/>
      <c r="RL60" s="43"/>
      <c r="RM60" s="43"/>
      <c r="RN60" s="43"/>
      <c r="RO60" s="43"/>
      <c r="RP60" s="43"/>
      <c r="RQ60" s="43"/>
      <c r="RR60" s="43"/>
      <c r="RS60" s="43"/>
      <c r="RT60" s="43"/>
      <c r="RU60" s="43"/>
      <c r="RV60" s="43"/>
      <c r="RW60" s="43"/>
      <c r="RX60" s="43"/>
      <c r="RY60" s="43"/>
      <c r="RZ60" s="43"/>
      <c r="SA60" s="43"/>
      <c r="SB60" s="43"/>
      <c r="SC60" s="43"/>
      <c r="SD60" s="43"/>
      <c r="SE60" s="43"/>
      <c r="SF60" s="43"/>
      <c r="SG60" s="43"/>
      <c r="SH60" s="43"/>
      <c r="SI60" s="43"/>
      <c r="SJ60" s="43"/>
      <c r="SK60" s="43"/>
      <c r="SL60" s="43"/>
      <c r="SM60" s="43"/>
      <c r="SN60" s="43"/>
      <c r="SO60" s="43"/>
      <c r="SP60" s="43"/>
      <c r="SQ60" s="43"/>
      <c r="SR60" s="43"/>
      <c r="SS60" s="43"/>
      <c r="ST60" s="43"/>
      <c r="SU60" s="43"/>
      <c r="SV60" s="43"/>
      <c r="SW60" s="43"/>
      <c r="SX60" s="43"/>
      <c r="SY60" s="43"/>
      <c r="SZ60" s="43"/>
      <c r="TA60" s="43"/>
      <c r="TB60" s="43"/>
      <c r="TC60" s="43"/>
      <c r="TD60" s="43"/>
      <c r="TE60" s="43"/>
      <c r="TF60" s="43"/>
      <c r="TG60" s="43"/>
      <c r="TH60" s="43"/>
      <c r="TI60" s="43"/>
      <c r="TJ60" s="43"/>
      <c r="TK60" s="43"/>
      <c r="TL60" s="43"/>
      <c r="TM60" s="43"/>
      <c r="TN60" s="43"/>
      <c r="TO60" s="43"/>
      <c r="TP60" s="43"/>
      <c r="TQ60" s="43"/>
      <c r="TR60" s="43"/>
      <c r="TS60" s="43"/>
      <c r="TT60" s="43"/>
      <c r="TU60" s="43"/>
      <c r="TV60" s="43"/>
      <c r="TW60" s="43"/>
      <c r="TX60" s="43"/>
      <c r="TY60" s="43"/>
      <c r="TZ60" s="43"/>
      <c r="UA60" s="43"/>
      <c r="UB60" s="43"/>
      <c r="UC60" s="43"/>
      <c r="UD60" s="43"/>
      <c r="UE60" s="43"/>
      <c r="UF60" s="43"/>
      <c r="UG60" s="43"/>
      <c r="UH60" s="43"/>
      <c r="UI60" s="43"/>
      <c r="UJ60" s="43"/>
      <c r="UK60" s="43"/>
      <c r="UL60" s="43"/>
      <c r="UM60" s="43"/>
      <c r="UN60" s="43"/>
      <c r="UO60" s="43"/>
      <c r="UP60" s="43"/>
      <c r="UQ60" s="43"/>
      <c r="UR60" s="43"/>
      <c r="US60" s="43"/>
      <c r="UT60" s="43"/>
      <c r="UU60" s="43"/>
      <c r="UV60" s="43"/>
      <c r="UW60" s="43"/>
      <c r="UX60" s="43"/>
      <c r="UY60" s="43"/>
      <c r="UZ60" s="43"/>
      <c r="VA60" s="43"/>
      <c r="VB60" s="43"/>
      <c r="VC60" s="43"/>
      <c r="VD60" s="43"/>
      <c r="VE60" s="43"/>
      <c r="VF60" s="43"/>
      <c r="VG60" s="43"/>
      <c r="VH60" s="43"/>
      <c r="VI60" s="43"/>
      <c r="VJ60" s="43"/>
      <c r="VK60" s="43"/>
      <c r="VL60" s="43"/>
      <c r="VM60" s="43"/>
      <c r="VN60" s="43"/>
      <c r="VO60" s="43"/>
      <c r="VP60" s="43"/>
      <c r="VQ60" s="43"/>
      <c r="VR60" s="43"/>
      <c r="VS60" s="43"/>
      <c r="VT60" s="43"/>
      <c r="VU60" s="43"/>
      <c r="VV60" s="43"/>
      <c r="VW60" s="43"/>
      <c r="VX60" s="43"/>
      <c r="VY60" s="43"/>
      <c r="VZ60" s="43"/>
      <c r="WA60" s="43"/>
      <c r="WB60" s="43"/>
      <c r="WC60" s="43"/>
      <c r="WD60" s="43"/>
      <c r="WE60" s="43"/>
      <c r="WF60" s="43"/>
      <c r="WG60" s="43"/>
      <c r="WH60" s="43"/>
      <c r="WI60" s="43"/>
      <c r="WJ60" s="43"/>
      <c r="WK60" s="43"/>
      <c r="WL60" s="43"/>
      <c r="WM60" s="43"/>
      <c r="WN60" s="43"/>
      <c r="WO60" s="43"/>
      <c r="WP60" s="43"/>
      <c r="WQ60" s="43"/>
      <c r="WR60" s="43"/>
      <c r="WS60" s="43"/>
      <c r="WT60" s="43"/>
      <c r="WU60" s="43"/>
      <c r="WV60" s="43"/>
      <c r="WW60" s="43"/>
      <c r="WX60" s="43"/>
      <c r="WY60" s="43"/>
      <c r="WZ60" s="43"/>
      <c r="XA60" s="43"/>
      <c r="XB60" s="43"/>
      <c r="XC60" s="43"/>
      <c r="XD60" s="43"/>
      <c r="XE60" s="43"/>
      <c r="XF60" s="43"/>
      <c r="XG60" s="43"/>
      <c r="XH60" s="43"/>
      <c r="XI60" s="43"/>
      <c r="XJ60" s="43"/>
      <c r="XK60" s="43"/>
      <c r="XL60" s="43"/>
      <c r="XM60" s="43"/>
      <c r="XN60" s="43"/>
      <c r="XO60" s="43"/>
      <c r="XP60" s="43"/>
      <c r="XQ60" s="43"/>
      <c r="XR60" s="43"/>
      <c r="XS60" s="43"/>
      <c r="XT60" s="43"/>
      <c r="XU60" s="43"/>
      <c r="XV60" s="43"/>
      <c r="XW60" s="43"/>
      <c r="XX60" s="43"/>
      <c r="XY60" s="43"/>
      <c r="XZ60" s="43"/>
      <c r="YA60" s="43"/>
      <c r="YB60" s="43"/>
      <c r="YC60" s="43"/>
      <c r="YD60" s="43"/>
      <c r="YE60" s="43"/>
      <c r="YF60" s="43"/>
      <c r="YG60" s="43"/>
      <c r="YH60" s="43"/>
      <c r="YI60" s="43"/>
      <c r="YJ60" s="43"/>
      <c r="YK60" s="43"/>
      <c r="YL60" s="43"/>
      <c r="YM60" s="43"/>
      <c r="YN60" s="43"/>
      <c r="YO60" s="43"/>
      <c r="YP60" s="43"/>
      <c r="YQ60" s="43"/>
      <c r="YR60" s="43"/>
      <c r="YS60" s="43"/>
      <c r="YT60" s="43"/>
      <c r="YU60" s="43"/>
      <c r="YV60" s="43"/>
      <c r="YW60" s="43"/>
      <c r="YX60" s="43"/>
      <c r="YY60" s="43"/>
      <c r="YZ60" s="43"/>
      <c r="ZA60" s="43"/>
      <c r="ZB60" s="43"/>
      <c r="ZC60" s="43"/>
      <c r="ZD60" s="43"/>
      <c r="ZE60" s="43"/>
      <c r="ZF60" s="43"/>
      <c r="ZG60" s="43"/>
      <c r="ZH60" s="43"/>
      <c r="ZI60" s="43"/>
      <c r="ZJ60" s="43"/>
      <c r="ZK60" s="43"/>
      <c r="ZL60" s="43"/>
      <c r="ZM60" s="43"/>
      <c r="ZN60" s="43"/>
      <c r="ZO60" s="43"/>
      <c r="ZP60" s="43"/>
      <c r="ZQ60" s="43"/>
      <c r="ZR60" s="43"/>
      <c r="ZS60" s="43"/>
      <c r="ZT60" s="43"/>
      <c r="ZU60" s="43"/>
      <c r="ZV60" s="43"/>
      <c r="ZW60" s="43"/>
      <c r="ZX60" s="43"/>
      <c r="ZY60" s="43"/>
      <c r="ZZ60" s="43"/>
      <c r="AAA60" s="43"/>
      <c r="AAB60" s="43"/>
      <c r="AAC60" s="43"/>
      <c r="AAD60" s="43"/>
      <c r="AAE60" s="43"/>
      <c r="AAF60" s="43"/>
      <c r="AAG60" s="43"/>
      <c r="AAH60" s="43"/>
      <c r="AAI60" s="43"/>
      <c r="AAJ60" s="43"/>
      <c r="AAK60" s="43"/>
      <c r="AAL60" s="43"/>
      <c r="AAM60" s="43"/>
      <c r="AAN60" s="43"/>
      <c r="AAO60" s="43"/>
      <c r="AAP60" s="43"/>
      <c r="AAQ60" s="43"/>
      <c r="AAR60" s="43"/>
      <c r="AAS60" s="43"/>
      <c r="AAT60" s="43"/>
      <c r="AAU60" s="43"/>
      <c r="AAV60" s="43"/>
      <c r="AAW60" s="43"/>
      <c r="AAX60" s="43"/>
      <c r="AAY60" s="43"/>
      <c r="AAZ60" s="43"/>
      <c r="ABA60" s="43"/>
      <c r="ABB60" s="43"/>
      <c r="ABC60" s="43"/>
      <c r="ABD60" s="43"/>
      <c r="ABE60" s="43"/>
      <c r="ABF60" s="43"/>
      <c r="ABG60" s="43"/>
      <c r="ABH60" s="43"/>
      <c r="ABI60" s="43"/>
      <c r="ABJ60" s="43"/>
      <c r="ABK60" s="43"/>
      <c r="ABL60" s="43"/>
      <c r="ABM60" s="43"/>
      <c r="ABN60" s="43"/>
      <c r="ABO60" s="43"/>
      <c r="ABP60" s="43"/>
      <c r="ABQ60" s="43"/>
      <c r="ABR60" s="43"/>
      <c r="ABS60" s="43"/>
      <c r="ABT60" s="43"/>
      <c r="ABU60" s="43"/>
      <c r="ABV60" s="43"/>
      <c r="ABW60" s="43"/>
      <c r="ABX60" s="43"/>
      <c r="ABY60" s="43"/>
      <c r="ABZ60" s="43"/>
      <c r="ACA60" s="43"/>
      <c r="ACB60" s="43"/>
      <c r="ACC60" s="43"/>
      <c r="ACD60" s="43"/>
      <c r="ACE60" s="43"/>
      <c r="ACF60" s="43"/>
      <c r="ACG60" s="43"/>
      <c r="ACH60" s="43"/>
      <c r="ACI60" s="43"/>
      <c r="ACJ60" s="43"/>
      <c r="ACK60" s="43"/>
      <c r="ACL60" s="43"/>
      <c r="ACM60" s="43"/>
      <c r="ACN60" s="43"/>
      <c r="ACO60" s="43"/>
      <c r="ACP60" s="43"/>
      <c r="ACQ60" s="43"/>
      <c r="ACR60" s="43"/>
      <c r="ACS60" s="43"/>
      <c r="ACT60" s="43"/>
      <c r="ACU60" s="43"/>
      <c r="ACV60" s="43"/>
      <c r="ACW60" s="43"/>
      <c r="ACX60" s="43"/>
      <c r="ACY60" s="43"/>
      <c r="ACZ60" s="43"/>
      <c r="ADA60" s="43"/>
      <c r="ADB60" s="43"/>
      <c r="ADC60" s="43"/>
      <c r="ADD60" s="43"/>
      <c r="ADE60" s="43"/>
      <c r="ADF60" s="43"/>
      <c r="ADG60" s="43"/>
      <c r="ADH60" s="43"/>
      <c r="ADI60" s="43"/>
      <c r="ADJ60" s="43"/>
      <c r="ADK60" s="43"/>
      <c r="ADL60" s="43"/>
      <c r="ADM60" s="43"/>
      <c r="ADN60" s="43"/>
      <c r="ADO60" s="43"/>
      <c r="ADP60" s="43"/>
      <c r="ADQ60" s="43"/>
      <c r="ADR60" s="43"/>
      <c r="ADS60" s="43"/>
      <c r="ADT60" s="43"/>
      <c r="ADU60" s="43"/>
      <c r="ADV60" s="43"/>
      <c r="ADW60" s="43"/>
      <c r="ADX60" s="43"/>
      <c r="ADY60" s="43"/>
      <c r="ADZ60" s="43"/>
      <c r="AEA60" s="43"/>
      <c r="AEB60" s="43"/>
      <c r="AEC60" s="43"/>
      <c r="AED60" s="43"/>
      <c r="AEE60" s="43"/>
      <c r="AEF60" s="43"/>
      <c r="AEG60" s="43"/>
      <c r="AEH60" s="43"/>
      <c r="AEI60" s="43"/>
      <c r="AEJ60" s="43"/>
      <c r="AEK60" s="43"/>
      <c r="AEL60" s="43"/>
      <c r="AEM60" s="43"/>
      <c r="AEN60" s="43"/>
      <c r="AEO60" s="43"/>
      <c r="AEP60" s="43"/>
      <c r="AEQ60" s="43"/>
      <c r="AER60" s="43"/>
      <c r="AES60" s="43"/>
      <c r="AET60" s="43"/>
      <c r="AEU60" s="43"/>
      <c r="AEV60" s="43"/>
      <c r="AEW60" s="43"/>
      <c r="AEX60" s="43"/>
      <c r="AEY60" s="43"/>
      <c r="AEZ60" s="43"/>
      <c r="AFA60" s="43"/>
      <c r="AFB60" s="43"/>
      <c r="AFC60" s="43"/>
      <c r="AFD60" s="43"/>
      <c r="AFE60" s="43"/>
      <c r="AFF60" s="43"/>
      <c r="AFG60" s="43"/>
      <c r="AFH60" s="43"/>
      <c r="AFI60" s="43"/>
      <c r="AFJ60" s="43"/>
      <c r="AFK60" s="43"/>
      <c r="AFL60" s="43"/>
      <c r="AFM60" s="43"/>
      <c r="AFN60" s="43"/>
      <c r="AFO60" s="43"/>
      <c r="AFP60" s="43"/>
      <c r="AFQ60" s="43"/>
      <c r="AFR60" s="43"/>
      <c r="AFS60" s="43"/>
      <c r="AFT60" s="43"/>
      <c r="AFU60" s="43"/>
      <c r="AFV60" s="43"/>
      <c r="AFW60" s="43"/>
      <c r="AFX60" s="43"/>
      <c r="AFY60" s="43"/>
      <c r="AFZ60" s="43"/>
      <c r="AGA60" s="43"/>
      <c r="AGB60" s="43"/>
      <c r="AGC60" s="43"/>
      <c r="AGD60" s="43"/>
      <c r="AGE60" s="43"/>
      <c r="AGF60" s="43"/>
      <c r="AGG60" s="43"/>
      <c r="AGH60" s="43"/>
      <c r="AGI60" s="43"/>
      <c r="AGJ60" s="43"/>
      <c r="AGK60" s="43"/>
      <c r="AGL60" s="43"/>
      <c r="AGM60" s="43"/>
      <c r="AGN60" s="43"/>
      <c r="AGO60" s="43"/>
      <c r="AGP60" s="43"/>
      <c r="AGQ60" s="43"/>
      <c r="AGR60" s="43"/>
      <c r="AGS60" s="47"/>
    </row>
    <row r="62" spans="1:877" x14ac:dyDescent="0.2">
      <c r="C62" s="48">
        <f>C14-C60</f>
        <v>366504.49815000128</v>
      </c>
      <c r="D62" s="48">
        <f t="shared" ref="D62:N62" si="112">D14-D60</f>
        <v>0</v>
      </c>
      <c r="E62" s="48">
        <f t="shared" si="112"/>
        <v>316341.61002000025</v>
      </c>
      <c r="F62" s="48">
        <f t="shared" si="112"/>
        <v>244467.84874000004</v>
      </c>
      <c r="G62" s="48">
        <f t="shared" si="112"/>
        <v>-54377.445380000048</v>
      </c>
      <c r="H62" s="48">
        <f t="shared" si="112"/>
        <v>-69317.004260000074</v>
      </c>
      <c r="I62" s="48">
        <f t="shared" si="112"/>
        <v>16292.35148000007</v>
      </c>
      <c r="J62" s="48">
        <f t="shared" si="112"/>
        <v>-31241.50214000023</v>
      </c>
      <c r="K62" s="48">
        <f t="shared" si="112"/>
        <v>-11975.012010000064</v>
      </c>
      <c r="L62" s="48">
        <f t="shared" si="112"/>
        <v>-12129.69052000012</v>
      </c>
      <c r="M62" s="48">
        <f t="shared" si="112"/>
        <v>-17211.554000000237</v>
      </c>
      <c r="N62" s="48">
        <f t="shared" si="112"/>
        <v>-14345.293780000065</v>
      </c>
    </row>
    <row r="64" spans="1:877" x14ac:dyDescent="0.2">
      <c r="D64" s="48"/>
    </row>
    <row r="66" spans="8:8" x14ac:dyDescent="0.2">
      <c r="H66" s="48"/>
    </row>
  </sheetData>
  <mergeCells count="28">
    <mergeCell ref="AU15:AV15"/>
    <mergeCell ref="A1:N1"/>
    <mergeCell ref="C2:N2"/>
    <mergeCell ref="AG15:AH15"/>
    <mergeCell ref="AI2:AT2"/>
    <mergeCell ref="AC2:AF2"/>
    <mergeCell ref="AA15:AB15"/>
    <mergeCell ref="W2:Z2"/>
    <mergeCell ref="U15:V15"/>
    <mergeCell ref="Q2:T2"/>
    <mergeCell ref="A5:C5"/>
    <mergeCell ref="A15:B15"/>
    <mergeCell ref="O15:P15"/>
    <mergeCell ref="CY15:CZ15"/>
    <mergeCell ref="BW15:BX15"/>
    <mergeCell ref="BI15:BJ15"/>
    <mergeCell ref="AW2:BH2"/>
    <mergeCell ref="CM2:CX2"/>
    <mergeCell ref="CK15:CL15"/>
    <mergeCell ref="BY2:CJ2"/>
    <mergeCell ref="BK2:BV2"/>
    <mergeCell ref="EQ2:FB2"/>
    <mergeCell ref="EO15:EP15"/>
    <mergeCell ref="DO2:DZ2"/>
    <mergeCell ref="DM15:DN15"/>
    <mergeCell ref="DA2:DL2"/>
    <mergeCell ref="EC2:EN2"/>
    <mergeCell ref="EA15:EB15"/>
  </mergeCells>
  <pageMargins left="0.39370078740157483" right="0.39370078740157483" top="0.55118110236220474" bottom="0.55118110236220474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2013-05-22T07:47:57Z</cp:lastPrinted>
  <dcterms:created xsi:type="dcterms:W3CDTF">2012-03-13T11:10:59Z</dcterms:created>
  <dcterms:modified xsi:type="dcterms:W3CDTF">2014-04-04T11:50:30Z</dcterms:modified>
</cp:coreProperties>
</file>