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30" windowWidth="28710" windowHeight="14130"/>
  </bookViews>
  <sheets>
    <sheet name="Свод " sheetId="6" r:id="rId1"/>
  </sheets>
  <definedNames>
    <definedName name="_xlnm._FilterDatabase" localSheetId="0" hidden="1">'Свод '!$A$18:$L$18</definedName>
    <definedName name="_xlnm.Print_Titles" localSheetId="0">'Свод '!$18:$18</definedName>
    <definedName name="_xlnm.Print_Area" localSheetId="0">'Свод '!$A$1:$T$130</definedName>
  </definedNames>
  <calcPr calcId="145621"/>
</workbook>
</file>

<file path=xl/calcChain.xml><?xml version="1.0" encoding="utf-8"?>
<calcChain xmlns="http://schemas.openxmlformats.org/spreadsheetml/2006/main">
  <c r="E112" i="6" l="1"/>
  <c r="N107" i="6" l="1"/>
  <c r="N110" i="6" s="1"/>
  <c r="M107" i="6"/>
  <c r="M110" i="6" s="1"/>
  <c r="D108" i="6"/>
  <c r="H108" i="6"/>
  <c r="L108" i="6"/>
  <c r="P108" i="6"/>
  <c r="D109" i="6"/>
  <c r="H109" i="6"/>
  <c r="L109" i="6"/>
  <c r="P109" i="6"/>
  <c r="E110" i="6"/>
  <c r="F110" i="6"/>
  <c r="G110" i="6"/>
  <c r="I110" i="6"/>
  <c r="J110" i="6"/>
  <c r="K110" i="6"/>
  <c r="O110" i="6"/>
  <c r="Q110" i="6"/>
  <c r="R110" i="6"/>
  <c r="S110" i="6"/>
  <c r="T110" i="6"/>
  <c r="C108" i="6" l="1"/>
  <c r="C109" i="6"/>
  <c r="M115" i="6"/>
  <c r="E27" i="6"/>
  <c r="F27" i="6"/>
  <c r="G27" i="6"/>
  <c r="I27" i="6"/>
  <c r="J27" i="6"/>
  <c r="K27" i="6"/>
  <c r="O27" i="6"/>
  <c r="S27" i="6"/>
  <c r="T27" i="6"/>
  <c r="N83" i="6" l="1"/>
  <c r="M83" i="6"/>
  <c r="N73" i="6"/>
  <c r="M73" i="6"/>
  <c r="M69" i="6" l="1"/>
  <c r="D95" i="6"/>
  <c r="H95" i="6"/>
  <c r="L95" i="6"/>
  <c r="P95" i="6"/>
  <c r="R21" i="6"/>
  <c r="R27" i="6" s="1"/>
  <c r="Q21" i="6"/>
  <c r="N21" i="6"/>
  <c r="N27" i="6" s="1"/>
  <c r="M21" i="6"/>
  <c r="M27" i="6" s="1"/>
  <c r="P21" i="6" l="1"/>
  <c r="Q27" i="6"/>
  <c r="L21" i="6"/>
  <c r="C95" i="6"/>
  <c r="N69" i="6" l="1"/>
  <c r="N62" i="6" l="1"/>
  <c r="M62" i="6"/>
  <c r="R62" i="6"/>
  <c r="Q62" i="6"/>
  <c r="N102" i="6"/>
  <c r="M102" i="6"/>
  <c r="N99" i="6"/>
  <c r="M99" i="6"/>
  <c r="E90" i="6" l="1"/>
  <c r="F90" i="6"/>
  <c r="G90" i="6"/>
  <c r="I90" i="6"/>
  <c r="J90" i="6"/>
  <c r="K90" i="6"/>
  <c r="M90" i="6"/>
  <c r="N90" i="6"/>
  <c r="O90" i="6"/>
  <c r="Q90" i="6"/>
  <c r="R90" i="6"/>
  <c r="S90" i="6"/>
  <c r="T90" i="6"/>
  <c r="D89" i="6"/>
  <c r="H89" i="6"/>
  <c r="L89" i="6"/>
  <c r="P89" i="6"/>
  <c r="C89" i="6" l="1"/>
  <c r="N92" i="6" l="1"/>
  <c r="M92" i="6"/>
  <c r="D107" i="6" l="1"/>
  <c r="H107" i="6"/>
  <c r="L107" i="6"/>
  <c r="P107" i="6"/>
  <c r="P59" i="6"/>
  <c r="L59" i="6"/>
  <c r="H59" i="6"/>
  <c r="H60" i="6" s="1"/>
  <c r="D59" i="6"/>
  <c r="D60" i="6" s="1"/>
  <c r="E60" i="6"/>
  <c r="F60" i="6"/>
  <c r="G60" i="6"/>
  <c r="I60" i="6"/>
  <c r="J60" i="6"/>
  <c r="K60" i="6"/>
  <c r="M60" i="6"/>
  <c r="N60" i="6"/>
  <c r="O60" i="6"/>
  <c r="Q60" i="6"/>
  <c r="R60" i="6"/>
  <c r="S60" i="6"/>
  <c r="T60" i="6"/>
  <c r="T42" i="6"/>
  <c r="C59" i="6" l="1"/>
  <c r="C107" i="6"/>
  <c r="N117" i="6"/>
  <c r="E117" i="6"/>
  <c r="F117" i="6"/>
  <c r="G117" i="6"/>
  <c r="H117" i="6"/>
  <c r="I117" i="6"/>
  <c r="J117" i="6"/>
  <c r="K117" i="6"/>
  <c r="O117" i="6"/>
  <c r="P117" i="6"/>
  <c r="Q117" i="6"/>
  <c r="R117" i="6"/>
  <c r="S117" i="6"/>
  <c r="T117" i="6"/>
  <c r="E104" i="6"/>
  <c r="F104" i="6"/>
  <c r="G104" i="6"/>
  <c r="I104" i="6"/>
  <c r="J104" i="6"/>
  <c r="K104" i="6"/>
  <c r="O104" i="6"/>
  <c r="Q104" i="6"/>
  <c r="R104" i="6"/>
  <c r="S104" i="6"/>
  <c r="R33" i="6"/>
  <c r="L56" i="6"/>
  <c r="L60" i="6" s="1"/>
  <c r="D113" i="6" l="1"/>
  <c r="D114" i="6"/>
  <c r="D115" i="6"/>
  <c r="D116" i="6"/>
  <c r="D112" i="6"/>
  <c r="L113" i="6"/>
  <c r="L114" i="6"/>
  <c r="L115" i="6"/>
  <c r="L116" i="6"/>
  <c r="C113" i="6" l="1"/>
  <c r="C116" i="6"/>
  <c r="C115" i="6"/>
  <c r="D117" i="6"/>
  <c r="C114" i="6"/>
  <c r="P56" i="6" l="1"/>
  <c r="P60" i="6" l="1"/>
  <c r="C56" i="6"/>
  <c r="C60" i="6" s="1"/>
  <c r="E62" i="6" l="1"/>
  <c r="T33" i="6" l="1"/>
  <c r="P121" i="6" l="1"/>
  <c r="P122" i="6"/>
  <c r="P123" i="6"/>
  <c r="P124" i="6"/>
  <c r="P125" i="6"/>
  <c r="P126" i="6"/>
  <c r="P120" i="6"/>
  <c r="P106" i="6"/>
  <c r="P110" i="6" s="1"/>
  <c r="P103" i="6"/>
  <c r="P102" i="6"/>
  <c r="P101" i="6"/>
  <c r="P100" i="6"/>
  <c r="P99" i="6"/>
  <c r="P96" i="6"/>
  <c r="P94" i="6"/>
  <c r="P93" i="6"/>
  <c r="P92" i="6"/>
  <c r="P88" i="6"/>
  <c r="P90" i="6" s="1"/>
  <c r="P85" i="6"/>
  <c r="P84" i="6"/>
  <c r="P83" i="6"/>
  <c r="P80" i="6"/>
  <c r="P79" i="6"/>
  <c r="P78" i="6"/>
  <c r="P77" i="6"/>
  <c r="P74" i="6"/>
  <c r="P73" i="6"/>
  <c r="T104" i="6"/>
  <c r="O97" i="6"/>
  <c r="Q97" i="6"/>
  <c r="R97" i="6"/>
  <c r="S97" i="6"/>
  <c r="T97" i="6"/>
  <c r="O86" i="6"/>
  <c r="Q86" i="6"/>
  <c r="R86" i="6"/>
  <c r="S86" i="6"/>
  <c r="T86" i="6"/>
  <c r="O81" i="6"/>
  <c r="Q81" i="6"/>
  <c r="R81" i="6"/>
  <c r="S81" i="6"/>
  <c r="O75" i="6"/>
  <c r="Q75" i="6"/>
  <c r="R75" i="6"/>
  <c r="S75" i="6"/>
  <c r="T75" i="6"/>
  <c r="P70" i="6"/>
  <c r="P69" i="6"/>
  <c r="O71" i="6"/>
  <c r="Q71" i="6"/>
  <c r="R71" i="6"/>
  <c r="S71" i="6"/>
  <c r="P75" i="6" l="1"/>
  <c r="P71" i="6"/>
  <c r="S118" i="6"/>
  <c r="R118" i="6"/>
  <c r="Q118" i="6"/>
  <c r="O118" i="6"/>
  <c r="P104" i="6"/>
  <c r="P86" i="6"/>
  <c r="P81" i="6"/>
  <c r="P97" i="6"/>
  <c r="P118" i="6" l="1"/>
  <c r="O65" i="6"/>
  <c r="Q65" i="6"/>
  <c r="R65" i="6"/>
  <c r="S65" i="6"/>
  <c r="T65" i="6"/>
  <c r="P62" i="6"/>
  <c r="P65" i="6" s="1"/>
  <c r="L62" i="6"/>
  <c r="P45" i="6"/>
  <c r="L45" i="6"/>
  <c r="Q54" i="6"/>
  <c r="O54" i="6"/>
  <c r="R54" i="6"/>
  <c r="S54" i="6"/>
  <c r="P53" i="6"/>
  <c r="L53" i="6"/>
  <c r="O43" i="6"/>
  <c r="Q43" i="6"/>
  <c r="R43" i="6"/>
  <c r="S43" i="6"/>
  <c r="T43" i="6"/>
  <c r="P42" i="6"/>
  <c r="P35" i="6"/>
  <c r="O33" i="6"/>
  <c r="Q33" i="6"/>
  <c r="S33" i="6"/>
  <c r="P26" i="6"/>
  <c r="P27" i="6" s="1"/>
  <c r="P29" i="6"/>
  <c r="P33" i="6" s="1"/>
  <c r="D21" i="6"/>
  <c r="P54" i="6" l="1"/>
  <c r="S66" i="6"/>
  <c r="S127" i="6" s="1"/>
  <c r="O66" i="6"/>
  <c r="O127" i="6" s="1"/>
  <c r="R66" i="6"/>
  <c r="R127" i="6" s="1"/>
  <c r="Q66" i="6"/>
  <c r="Q127" i="6" s="1"/>
  <c r="P43" i="6"/>
  <c r="P66" i="6" l="1"/>
  <c r="P127" i="6" l="1"/>
  <c r="N77" i="6"/>
  <c r="M77" i="6"/>
  <c r="L96" i="6" l="1"/>
  <c r="E97" i="6"/>
  <c r="F97" i="6"/>
  <c r="G97" i="6"/>
  <c r="I97" i="6"/>
  <c r="J97" i="6"/>
  <c r="K97" i="6"/>
  <c r="M97" i="6"/>
  <c r="N97" i="6"/>
  <c r="D96" i="6"/>
  <c r="H96" i="6"/>
  <c r="C96" i="6" l="1"/>
  <c r="L93" i="6"/>
  <c r="M125" i="6" l="1"/>
  <c r="H93" i="6"/>
  <c r="H94" i="6"/>
  <c r="L94" i="6"/>
  <c r="D93" i="6"/>
  <c r="D94" i="6"/>
  <c r="M124" i="6"/>
  <c r="C94" i="6" l="1"/>
  <c r="C93" i="6"/>
  <c r="M123" i="6" l="1"/>
  <c r="M122" i="6"/>
  <c r="M121" i="6"/>
  <c r="M120" i="6"/>
  <c r="E81" i="6" l="1"/>
  <c r="F81" i="6"/>
  <c r="G81" i="6"/>
  <c r="I81" i="6"/>
  <c r="J81" i="6"/>
  <c r="K81" i="6"/>
  <c r="M81" i="6"/>
  <c r="N81" i="6"/>
  <c r="I126" i="6" l="1"/>
  <c r="J126" i="6"/>
  <c r="K126" i="6"/>
  <c r="H121" i="6"/>
  <c r="H122" i="6"/>
  <c r="H123" i="6"/>
  <c r="H124" i="6"/>
  <c r="H125" i="6"/>
  <c r="H120" i="6"/>
  <c r="H106" i="6"/>
  <c r="H110" i="6" s="1"/>
  <c r="H100" i="6"/>
  <c r="H101" i="6"/>
  <c r="H102" i="6"/>
  <c r="H103" i="6"/>
  <c r="H99" i="6"/>
  <c r="H92" i="6"/>
  <c r="H97" i="6" s="1"/>
  <c r="H88" i="6"/>
  <c r="H90" i="6" s="1"/>
  <c r="I86" i="6"/>
  <c r="J86" i="6"/>
  <c r="K86" i="6"/>
  <c r="H84" i="6"/>
  <c r="H85" i="6"/>
  <c r="H83" i="6"/>
  <c r="H78" i="6"/>
  <c r="H79" i="6"/>
  <c r="H80" i="6"/>
  <c r="H77" i="6"/>
  <c r="I75" i="6"/>
  <c r="J75" i="6"/>
  <c r="K75" i="6"/>
  <c r="H74" i="6"/>
  <c r="H73" i="6"/>
  <c r="I71" i="6"/>
  <c r="J71" i="6"/>
  <c r="K71" i="6"/>
  <c r="H70" i="6"/>
  <c r="H69" i="6"/>
  <c r="I65" i="6"/>
  <c r="J65" i="6"/>
  <c r="K65" i="6"/>
  <c r="H62" i="6"/>
  <c r="H65" i="6" s="1"/>
  <c r="I54" i="6"/>
  <c r="J54" i="6"/>
  <c r="K54" i="6"/>
  <c r="H53" i="6"/>
  <c r="H45" i="6"/>
  <c r="I43" i="6"/>
  <c r="J43" i="6"/>
  <c r="K43" i="6"/>
  <c r="M43" i="6"/>
  <c r="N43" i="6"/>
  <c r="H42" i="6"/>
  <c r="H35" i="6"/>
  <c r="G33" i="6"/>
  <c r="I33" i="6"/>
  <c r="J33" i="6"/>
  <c r="K33" i="6"/>
  <c r="M33" i="6"/>
  <c r="N33" i="6"/>
  <c r="H29" i="6"/>
  <c r="H33" i="6" s="1"/>
  <c r="H26" i="6"/>
  <c r="H21" i="6"/>
  <c r="C21" i="6" l="1"/>
  <c r="H27" i="6"/>
  <c r="J118" i="6"/>
  <c r="K118" i="6"/>
  <c r="I118" i="6"/>
  <c r="H104" i="6"/>
  <c r="H75" i="6"/>
  <c r="H54" i="6"/>
  <c r="H71" i="6"/>
  <c r="H126" i="6"/>
  <c r="H43" i="6"/>
  <c r="I66" i="6"/>
  <c r="H81" i="6"/>
  <c r="H86" i="6"/>
  <c r="K66" i="6"/>
  <c r="J66" i="6"/>
  <c r="J127" i="6" s="1"/>
  <c r="I127" i="6" l="1"/>
  <c r="K127" i="6"/>
  <c r="H118" i="6"/>
  <c r="H66" i="6"/>
  <c r="M104" i="6"/>
  <c r="H127" i="6" l="1"/>
  <c r="N104" i="6"/>
  <c r="G43" i="6" l="1"/>
  <c r="L42" i="6"/>
  <c r="D42" i="6"/>
  <c r="C42" i="6" s="1"/>
  <c r="D26" i="6" l="1"/>
  <c r="D27" i="6" s="1"/>
  <c r="L26" i="6"/>
  <c r="L27" i="6" s="1"/>
  <c r="C26" i="6" l="1"/>
  <c r="C27" i="6" s="1"/>
  <c r="F43" i="6"/>
  <c r="E43" i="6"/>
  <c r="F33" i="6"/>
  <c r="E33" i="6"/>
  <c r="D92" i="6" l="1"/>
  <c r="L92" i="6"/>
  <c r="L97" i="6" s="1"/>
  <c r="D97" i="6" l="1"/>
  <c r="C92" i="6"/>
  <c r="C97" i="6" s="1"/>
  <c r="E75" i="6"/>
  <c r="F75" i="6"/>
  <c r="G75" i="6"/>
  <c r="M75" i="6"/>
  <c r="N75" i="6"/>
  <c r="L74" i="6"/>
  <c r="D74" i="6"/>
  <c r="E71" i="6"/>
  <c r="F71" i="6"/>
  <c r="G71" i="6"/>
  <c r="M71" i="6"/>
  <c r="N71" i="6"/>
  <c r="T71" i="6"/>
  <c r="D70" i="6"/>
  <c r="L70" i="6"/>
  <c r="C74" i="6" l="1"/>
  <c r="C70" i="6"/>
  <c r="T80" i="6"/>
  <c r="T81" i="6" s="1"/>
  <c r="T118" i="6" s="1"/>
  <c r="D106" i="6" l="1"/>
  <c r="D110" i="6" s="1"/>
  <c r="L106" i="6" l="1"/>
  <c r="L110" i="6" s="1"/>
  <c r="C106" i="6" l="1"/>
  <c r="C110" i="6" s="1"/>
  <c r="L88" i="6" l="1"/>
  <c r="L90" i="6" s="1"/>
  <c r="D88" i="6"/>
  <c r="D90" i="6" s="1"/>
  <c r="C88" i="6" l="1"/>
  <c r="C90" i="6" s="1"/>
  <c r="E86" i="6" l="1"/>
  <c r="E118" i="6" s="1"/>
  <c r="F86" i="6"/>
  <c r="F118" i="6" s="1"/>
  <c r="G86" i="6"/>
  <c r="G118" i="6" s="1"/>
  <c r="M86" i="6"/>
  <c r="N86" i="6"/>
  <c r="N118" i="6" s="1"/>
  <c r="L85" i="6"/>
  <c r="D85" i="6"/>
  <c r="D53" i="6"/>
  <c r="E54" i="6"/>
  <c r="F54" i="6"/>
  <c r="G54" i="6"/>
  <c r="M54" i="6"/>
  <c r="N54" i="6"/>
  <c r="T54" i="6"/>
  <c r="T66" i="6" s="1"/>
  <c r="L80" i="6"/>
  <c r="D80" i="6"/>
  <c r="C80" i="6" l="1"/>
  <c r="C85" i="6"/>
  <c r="C53" i="6"/>
  <c r="E126" i="6" l="1"/>
  <c r="F126" i="6"/>
  <c r="G126" i="6"/>
  <c r="M126" i="6"/>
  <c r="N126" i="6"/>
  <c r="T126" i="6"/>
  <c r="L125" i="6"/>
  <c r="L124" i="6"/>
  <c r="C124" i="6" s="1"/>
  <c r="L123" i="6"/>
  <c r="L122" i="6"/>
  <c r="L121" i="6"/>
  <c r="C121" i="6" s="1"/>
  <c r="L120" i="6"/>
  <c r="C120" i="6" s="1"/>
  <c r="D125" i="6"/>
  <c r="D124" i="6"/>
  <c r="D123" i="6"/>
  <c r="D122" i="6"/>
  <c r="D121" i="6"/>
  <c r="D120" i="6"/>
  <c r="C125" i="6" l="1"/>
  <c r="T127" i="6"/>
  <c r="C122" i="6"/>
  <c r="C123" i="6"/>
  <c r="L126" i="6"/>
  <c r="D126" i="6"/>
  <c r="C126" i="6" l="1"/>
  <c r="L103" i="6" l="1"/>
  <c r="D103" i="6"/>
  <c r="C103" i="6" l="1"/>
  <c r="D79" i="6"/>
  <c r="L79" i="6"/>
  <c r="C79" i="6" l="1"/>
  <c r="D102" i="6"/>
  <c r="L100" i="6"/>
  <c r="L101" i="6"/>
  <c r="L102" i="6"/>
  <c r="L99" i="6"/>
  <c r="L84" i="6"/>
  <c r="L83" i="6"/>
  <c r="L78" i="6"/>
  <c r="L77" i="6"/>
  <c r="D78" i="6"/>
  <c r="C78" i="6" s="1"/>
  <c r="D77" i="6"/>
  <c r="L73" i="6"/>
  <c r="D73" i="6"/>
  <c r="D75" i="6" s="1"/>
  <c r="L69" i="6"/>
  <c r="D69" i="6"/>
  <c r="D71" i="6" s="1"/>
  <c r="L104" i="6" l="1"/>
  <c r="L81" i="6"/>
  <c r="C102" i="6"/>
  <c r="L86" i="6"/>
  <c r="L75" i="6"/>
  <c r="C73" i="6"/>
  <c r="C75" i="6" s="1"/>
  <c r="L71" i="6"/>
  <c r="C69" i="6"/>
  <c r="C71" i="6" s="1"/>
  <c r="D81" i="6"/>
  <c r="C77" i="6"/>
  <c r="C81" i="6" s="1"/>
  <c r="G65" i="6"/>
  <c r="F65" i="6"/>
  <c r="L35" i="6"/>
  <c r="D29" i="6"/>
  <c r="L43" i="6" l="1"/>
  <c r="D33" i="6"/>
  <c r="D62" i="6"/>
  <c r="C62" i="6" s="1"/>
  <c r="D35" i="6"/>
  <c r="C35" i="6" s="1"/>
  <c r="D45" i="6"/>
  <c r="C45" i="6" s="1"/>
  <c r="C54" i="6" s="1"/>
  <c r="E65" i="6"/>
  <c r="D54" i="6" l="1"/>
  <c r="D65" i="6"/>
  <c r="C43" i="6"/>
  <c r="D43" i="6"/>
  <c r="M65" i="6" l="1"/>
  <c r="N65" i="6"/>
  <c r="D84" i="6" l="1"/>
  <c r="C84" i="6" s="1"/>
  <c r="E66" i="6" l="1"/>
  <c r="F66" i="6"/>
  <c r="M66" i="6"/>
  <c r="N66" i="6"/>
  <c r="F127" i="6" l="1"/>
  <c r="N127" i="6"/>
  <c r="E127" i="6"/>
  <c r="D100" i="6" l="1"/>
  <c r="D101" i="6"/>
  <c r="C101" i="6" s="1"/>
  <c r="C100" i="6" l="1"/>
  <c r="L29" i="6" l="1"/>
  <c r="C29" i="6" s="1"/>
  <c r="L33" i="6" l="1"/>
  <c r="C33" i="6"/>
  <c r="L54" i="6"/>
  <c r="L65" i="6"/>
  <c r="C65" i="6"/>
  <c r="L66" i="6" l="1"/>
  <c r="G66" i="6" l="1"/>
  <c r="G127" i="6" s="1"/>
  <c r="D83" i="6" l="1"/>
  <c r="D86" i="6" l="1"/>
  <c r="C83" i="6"/>
  <c r="C86" i="6" s="1"/>
  <c r="D99" i="6"/>
  <c r="D104" i="6" s="1"/>
  <c r="D118" i="6" s="1"/>
  <c r="C99" i="6" l="1"/>
  <c r="C104" i="6" s="1"/>
  <c r="B18" i="6" l="1"/>
  <c r="C18" i="6" s="1"/>
  <c r="D18" i="6" s="1"/>
  <c r="E18" i="6" s="1"/>
  <c r="F18" i="6" s="1"/>
  <c r="D66" i="6"/>
  <c r="D127" i="6" s="1"/>
  <c r="C66" i="6" l="1"/>
  <c r="M117" i="6"/>
  <c r="L112" i="6"/>
  <c r="M118" i="6" l="1"/>
  <c r="M127" i="6" s="1"/>
  <c r="C112" i="6"/>
  <c r="L117" i="6"/>
  <c r="L118" i="6" s="1"/>
  <c r="L127" i="6" s="1"/>
  <c r="C117" i="6" l="1"/>
  <c r="V117" i="6" l="1"/>
  <c r="C118" i="6"/>
  <c r="C127" i="6" s="1"/>
  <c r="C135" i="6" l="1"/>
  <c r="C136" i="6" s="1"/>
</calcChain>
</file>

<file path=xl/sharedStrings.xml><?xml version="1.0" encoding="utf-8"?>
<sst xmlns="http://schemas.openxmlformats.org/spreadsheetml/2006/main" count="147" uniqueCount="107">
  <si>
    <t>Благоустройство 0503</t>
  </si>
  <si>
    <t>городского округа город Воронеж</t>
  </si>
  <si>
    <t xml:space="preserve">в рамках муниципальной программы городского округа город Воронеж </t>
  </si>
  <si>
    <t>УТВЕРЖДЕНО</t>
  </si>
  <si>
    <t>распоряжением администрации</t>
  </si>
  <si>
    <t>Итого по Железнодорожному району</t>
  </si>
  <si>
    <t>Железнодорожный район</t>
  </si>
  <si>
    <t>Коминтерновский район</t>
  </si>
  <si>
    <t>Итого по Коминтерновскому району</t>
  </si>
  <si>
    <t xml:space="preserve">ПООБЪЕКТНОЕ РАСПРЕДЕЛЕНИЕ </t>
  </si>
  <si>
    <t>Левобережный район</t>
  </si>
  <si>
    <t>Итого по Левобережному району</t>
  </si>
  <si>
    <t>Ленинский район</t>
  </si>
  <si>
    <t>Итого по Ленинскому району</t>
  </si>
  <si>
    <t>Советский район</t>
  </si>
  <si>
    <t>Итого по Советскому району</t>
  </si>
  <si>
    <t>Центральный район</t>
  </si>
  <si>
    <t>Выполнение работ по благоустройству дворовых территорий</t>
  </si>
  <si>
    <t>Выполнение работ по благоустройству общественных территорий</t>
  </si>
  <si>
    <t>Управление строительной политики</t>
  </si>
  <si>
    <t>Всего по городскому округу город Воронеж</t>
  </si>
  <si>
    <t>Общая  стоимость,  руб.</t>
  </si>
  <si>
    <t>№ п/п</t>
  </si>
  <si>
    <t>Наименование объектов, работ и затрат</t>
  </si>
  <si>
    <t>Итого по управлению строительной политики</t>
  </si>
  <si>
    <t>Итого по благоустройству общественных территорий</t>
  </si>
  <si>
    <t>Итого по благоустройству дворовых территорий</t>
  </si>
  <si>
    <t>Итого по Центральному району</t>
  </si>
  <si>
    <t>средства городского округа</t>
  </si>
  <si>
    <t>средства федерального и областного бюджетов</t>
  </si>
  <si>
    <t>стоимость работ (включая НДС), руб.</t>
  </si>
  <si>
    <t>объем средств софинансирования собственниками помещений МКД дополнительного перечня работ по благоустройству дворовых территорий МКД</t>
  </si>
  <si>
    <t>по соглашению (доп. средства),  
 руб.</t>
  </si>
  <si>
    <t>Дополнительные средства  бюджета городского округа город Воронеж, руб.</t>
  </si>
  <si>
    <t>ул. 25 Января, д. 50</t>
  </si>
  <si>
    <t>ул. Переверткина, д. 6</t>
  </si>
  <si>
    <t>Ленинский пр-кт, д. 187</t>
  </si>
  <si>
    <t>ул. Переверткина, д. 37</t>
  </si>
  <si>
    <t>ул. Беговая, д. 128</t>
  </si>
  <si>
    <t>ул. Беговая, д. 130</t>
  </si>
  <si>
    <t>ул. Беговая, д. 134</t>
  </si>
  <si>
    <t>ул. Новгородская, д. 121</t>
  </si>
  <si>
    <t>Ленинский пр-кт, д. 94/6</t>
  </si>
  <si>
    <t>ул. Циолковского, д. 129</t>
  </si>
  <si>
    <t>ул. Ленинградская, д. 6</t>
  </si>
  <si>
    <t>ул. Героев Стратосферы, д. 22В</t>
  </si>
  <si>
    <t>ул. Беляевой, д. 7</t>
  </si>
  <si>
    <t>ул. Красноармейская, д. 60</t>
  </si>
  <si>
    <t>ул. Грамши, д. 72</t>
  </si>
  <si>
    <t>ул. Фридриха Энгельса, д. 91</t>
  </si>
  <si>
    <t>ул. Карла Либкнехта, д. 33</t>
  </si>
  <si>
    <t>ул. Чапаева, д. 112</t>
  </si>
  <si>
    <t>пер. Алтайский, д. 26</t>
  </si>
  <si>
    <t>ул. Станкевича, д. 40</t>
  </si>
  <si>
    <t>ул. Кирова, д. 10</t>
  </si>
  <si>
    <t>ул. Карла Либкнехта, д. 57</t>
  </si>
  <si>
    <t>ул. Южно-Моравская, д. 21</t>
  </si>
  <si>
    <t>ул. Космонавта Комарова, д. 7</t>
  </si>
  <si>
    <t>ул. 25 Октября, д. 45</t>
  </si>
  <si>
    <t>ул. 25 Октября, д. 48</t>
  </si>
  <si>
    <t>ул. Никитинская, д. 16</t>
  </si>
  <si>
    <t>Управление экологии</t>
  </si>
  <si>
    <t>Итого по управлению экологии</t>
  </si>
  <si>
    <t>Благоустройство проспекта Революции, город Воронеж</t>
  </si>
  <si>
    <t xml:space="preserve">ассигнований бюджета городского округа город Воронеж на 2023 год на проведение мероприятий </t>
  </si>
  <si>
    <t>«Формирование современной городской среды на территории городского округа город Воронеж»</t>
  </si>
  <si>
    <t>Воронежский центральный парк, ул. Ленина, 10</t>
  </si>
  <si>
    <t>наб. Спортивная, д. 4</t>
  </si>
  <si>
    <t>Мероприятие по повышению уровня информирования граждан о проведении голосования по отбору общественных территорий, подлежащих благоустройству</t>
  </si>
  <si>
    <t>Итого по мероприятию</t>
  </si>
  <si>
    <t xml:space="preserve">Проведение проверки достоверности сметной стоимости </t>
  </si>
  <si>
    <t>Управление культуры</t>
  </si>
  <si>
    <t>Итого по управлению культуры</t>
  </si>
  <si>
    <t>средства областного бюджета</t>
  </si>
  <si>
    <t>ул. Переверткина, д. 47</t>
  </si>
  <si>
    <t>по соглашению, 
 руб.</t>
  </si>
  <si>
    <t>Сквер «Лесная сказка», ул. Богдана Хмельницкого, 26д</t>
  </si>
  <si>
    <t>Сквер Машиностроителей, ул. 9 Января, 108</t>
  </si>
  <si>
    <t>Парк Патриотов и часть территории набережной Авиастроителей (напротив парка Патриотов)</t>
  </si>
  <si>
    <t>Парк  Мостозавода, ул. Уточкина, 1д</t>
  </si>
  <si>
    <t>Часть территории набережной Авиастроителей (у парка «Алые паруса»)</t>
  </si>
  <si>
    <t>Сквер имени Г.А. Сухомлинова, ул. Кольцовская, 43в</t>
  </si>
  <si>
    <t>Благоустройство общественной территории: ул. Кропоткина, 4</t>
  </si>
  <si>
    <t>Проспект Революции – устройство системы информации и навигации</t>
  </si>
  <si>
    <t>Парк им. Дурова, ул. Ворошилова, 1м, ул. Ворошилова, 1в, ул. Моисеева, 2е</t>
  </si>
  <si>
    <t>Сквер «Надежда»,  ул. Плехановская, 8д</t>
  </si>
  <si>
    <t>Сквер им. Бунина, ул. Плехановская, 7в, с прилегающей территорией</t>
  </si>
  <si>
    <t>наб. Авиастроителей, д. 38</t>
  </si>
  <si>
    <t>Благоустройство Петровской набережной (I очередь)</t>
  </si>
  <si>
    <t>Благоустройство Петровской набережной (II очередь)</t>
  </si>
  <si>
    <t>Сквер «Чайка», ул. Новосибирская, 80в, 80е</t>
  </si>
  <si>
    <t xml:space="preserve">Благоустройство Петровской набережной (I очередь) (подпорная стена «Церковь Успения») </t>
  </si>
  <si>
    <t>Дорожное хозяйство 0409</t>
  </si>
  <si>
    <t xml:space="preserve">Благоустройство Петровской набережной (I очередь) (стела, устройство сетей наружного освещения, входная группа ) </t>
  </si>
  <si>
    <t xml:space="preserve">Детский литературный парк, пл.  Детей, 1с </t>
  </si>
  <si>
    <t>Мемориальный комплекс «Площадь Победы»</t>
  </si>
  <si>
    <t xml:space="preserve">Общественная территория по адресу: г. Воронеж, пр-кт Московский, д.131 (МБУК «ЦКС», КДЦ «Северный») </t>
  </si>
  <si>
    <t>раньше разбег был 0,12</t>
  </si>
  <si>
    <t xml:space="preserve">Проспект Революции – устройство скульптурных композиций </t>
  </si>
  <si>
    <t>Благоустройство 0503, культура 0801</t>
  </si>
  <si>
    <t>Сквер Примирения и согласия (ПСД)</t>
  </si>
  <si>
    <t>Сквер Примирения и согласия (СМР)</t>
  </si>
  <si>
    <t xml:space="preserve">Руководитель  управления жилищно-коммунального хозяйства                                                                                                                                                          Е.А. Семынин                                </t>
  </si>
  <si>
    <t xml:space="preserve">Сквер Никитинский, ул. Никитинская, 11в </t>
  </si>
  <si>
    <t xml:space="preserve">Бульвар «Есенинская аллея», ул. Кардашова, 4в – устройство скульптурных композиций </t>
  </si>
  <si>
    <t xml:space="preserve">Сквер им. Бунина, ул. Плехановская, 7в, с прилегающей территорией – устройство скульптурных композиций </t>
  </si>
  <si>
    <t>от 30.10.2023     № 740-р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</si>
</sst>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0;[Red]#,##0.00"/>
    <numFmt numFmtId="166" formatCode="#,##0;[Red]#,##0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18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7" fillId="0" borderId="0" applyFont="0" applyFill="0" applyBorder="0" applyAlignment="0" applyProtection="0"/>
  </cellStyleXfs>
  <cellXfs count="118">
    <xf numFmtId="0" fontId="0" fillId="0" borderId="0" xfId="0"/>
    <xf numFmtId="4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4" fontId="6" fillId="2" borderId="0" xfId="0" applyNumberFormat="1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/>
    <xf numFmtId="0" fontId="8" fillId="2" borderId="0" xfId="0" applyFont="1" applyFill="1" applyAlignment="1">
      <alignment horizont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165" fontId="6" fillId="0" borderId="1" xfId="1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vertical="center"/>
    </xf>
    <xf numFmtId="4" fontId="6" fillId="2" borderId="0" xfId="0" applyNumberFormat="1" applyFont="1" applyFill="1" applyAlignment="1">
      <alignment wrapText="1"/>
    </xf>
    <xf numFmtId="2" fontId="6" fillId="0" borderId="4" xfId="0" applyNumberFormat="1" applyFont="1" applyFill="1" applyBorder="1" applyAlignment="1">
      <alignment horizontal="center" vertical="center"/>
    </xf>
    <xf numFmtId="165" fontId="6" fillId="2" borderId="1" xfId="1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vertical="center" wrapText="1"/>
    </xf>
    <xf numFmtId="3" fontId="8" fillId="0" borderId="4" xfId="0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left" vertical="center" wrapText="1"/>
    </xf>
    <xf numFmtId="4" fontId="8" fillId="2" borderId="4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165" fontId="6" fillId="0" borderId="4" xfId="1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horizontal="center" vertical="top"/>
    </xf>
    <xf numFmtId="2" fontId="6" fillId="0" borderId="0" xfId="0" applyNumberFormat="1" applyFont="1" applyFill="1" applyAlignment="1">
      <alignment vertical="center"/>
    </xf>
    <xf numFmtId="165" fontId="6" fillId="0" borderId="4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65" fontId="6" fillId="2" borderId="0" xfId="0" applyNumberFormat="1" applyFont="1" applyFill="1" applyBorder="1" applyAlignment="1">
      <alignment vertical="center"/>
    </xf>
    <xf numFmtId="4" fontId="6" fillId="0" borderId="0" xfId="0" applyNumberFormat="1" applyFont="1" applyFill="1"/>
    <xf numFmtId="4" fontId="6" fillId="2" borderId="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center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2" xfId="1"/>
    <cellStyle name="Обычный 2 2" xfId="5"/>
    <cellStyle name="Обычный 2 3" xfId="6"/>
    <cellStyle name="Обычный 3" xfId="2"/>
    <cellStyle name="Обычный 3 2" xfId="7"/>
    <cellStyle name="Обычный 4" xfId="3"/>
    <cellStyle name="Обычный 4 2" xfId="8"/>
    <cellStyle name="Обычный 5" xfId="4"/>
    <cellStyle name="Обычный 5 2" xfId="9"/>
    <cellStyle name="Финансовый" xfId="10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3"/>
  <sheetViews>
    <sheetView tabSelected="1" zoomScale="58" zoomScaleNormal="58" zoomScaleSheetLayoutView="20" zoomScalePageLayoutView="37" workbookViewId="0">
      <pane xSplit="3735" topLeftCell="E1" activePane="topRight"/>
      <selection activeCell="A136" sqref="A136:XFD136"/>
      <selection pane="topRight" activeCell="A9" sqref="A9:T9"/>
    </sheetView>
  </sheetViews>
  <sheetFormatPr defaultRowHeight="23.25" x14ac:dyDescent="0.3"/>
  <cols>
    <col min="1" max="1" width="10.7109375" style="12" customWidth="1"/>
    <col min="2" max="2" width="46.85546875" style="2" customWidth="1"/>
    <col min="3" max="3" width="26.5703125" style="3" customWidth="1"/>
    <col min="4" max="4" width="26.140625" style="3" customWidth="1"/>
    <col min="5" max="5" width="25.5703125" style="3" customWidth="1"/>
    <col min="6" max="6" width="18.28515625" style="3" customWidth="1"/>
    <col min="7" max="7" width="29.5703125" style="3" customWidth="1"/>
    <col min="8" max="8" width="26.140625" style="3" customWidth="1"/>
    <col min="9" max="9" width="23.140625" style="3" customWidth="1"/>
    <col min="10" max="10" width="17.28515625" style="3" customWidth="1"/>
    <col min="11" max="11" width="30.140625" style="3" customWidth="1"/>
    <col min="12" max="12" width="27.28515625" style="3" customWidth="1"/>
    <col min="13" max="13" width="26.85546875" style="3" customWidth="1"/>
    <col min="14" max="14" width="22.28515625" style="3" customWidth="1"/>
    <col min="15" max="15" width="27.42578125" style="3" customWidth="1"/>
    <col min="16" max="16" width="26" style="3" customWidth="1"/>
    <col min="17" max="17" width="27.7109375" style="3" customWidth="1"/>
    <col min="18" max="18" width="17.5703125" style="3" customWidth="1"/>
    <col min="19" max="19" width="26.140625" style="3" customWidth="1"/>
    <col min="20" max="20" width="25.28515625" style="3" customWidth="1"/>
    <col min="21" max="21" width="28.7109375" style="3" customWidth="1"/>
    <col min="22" max="22" width="23.140625" style="3" customWidth="1"/>
    <col min="23" max="23" width="21.28515625" style="3" customWidth="1"/>
    <col min="24" max="24" width="43.140625" style="3" customWidth="1"/>
    <col min="25" max="25" width="25.140625" style="3" bestFit="1" customWidth="1"/>
    <col min="26" max="26" width="13.85546875" style="3" customWidth="1"/>
    <col min="27" max="27" width="19.5703125" style="3" customWidth="1"/>
    <col min="28" max="16384" width="9.140625" style="3"/>
  </cols>
  <sheetData>
    <row r="1" spans="1:20" ht="23.25" customHeight="1" x14ac:dyDescent="0.4">
      <c r="B1" s="13"/>
      <c r="C1" s="14"/>
      <c r="D1" s="14"/>
      <c r="E1" s="14"/>
      <c r="F1" s="14"/>
      <c r="G1" s="14"/>
      <c r="H1" s="14"/>
      <c r="I1" s="14"/>
      <c r="J1" s="14"/>
      <c r="K1" s="14"/>
      <c r="L1" s="15"/>
      <c r="M1" s="15"/>
      <c r="N1" s="15"/>
      <c r="O1" s="15"/>
      <c r="P1" s="15"/>
      <c r="Q1" s="15"/>
      <c r="R1" s="56"/>
      <c r="S1" s="56"/>
      <c r="T1" s="56"/>
    </row>
    <row r="2" spans="1:20" ht="30.75" customHeight="1" x14ac:dyDescent="0.35">
      <c r="B2" s="13"/>
      <c r="C2" s="14"/>
      <c r="D2" s="14"/>
      <c r="E2" s="15"/>
      <c r="F2" s="15"/>
      <c r="G2" s="15"/>
      <c r="H2" s="15"/>
      <c r="I2" s="15"/>
      <c r="J2" s="15"/>
      <c r="K2" s="15"/>
      <c r="P2" s="16"/>
      <c r="Q2" s="15"/>
      <c r="R2" s="57"/>
      <c r="S2" s="58" t="s">
        <v>3</v>
      </c>
      <c r="T2" s="58"/>
    </row>
    <row r="3" spans="1:20" ht="33.75" customHeight="1" x14ac:dyDescent="0.35">
      <c r="B3" s="13"/>
      <c r="C3" s="14"/>
      <c r="D3" s="14"/>
      <c r="E3" s="15"/>
      <c r="F3" s="15"/>
      <c r="G3" s="15"/>
      <c r="H3" s="15"/>
      <c r="I3" s="15"/>
      <c r="J3" s="15"/>
      <c r="K3" s="15"/>
      <c r="P3" s="16"/>
      <c r="Q3" s="15"/>
      <c r="R3" s="57"/>
      <c r="S3" s="58" t="s">
        <v>4</v>
      </c>
      <c r="T3" s="58"/>
    </row>
    <row r="4" spans="1:20" ht="32.25" customHeight="1" x14ac:dyDescent="0.35">
      <c r="B4" s="13"/>
      <c r="C4" s="14"/>
      <c r="D4" s="14"/>
      <c r="E4" s="15"/>
      <c r="F4" s="15"/>
      <c r="G4" s="15"/>
      <c r="H4" s="15"/>
      <c r="I4" s="15"/>
      <c r="J4" s="15"/>
      <c r="K4" s="15"/>
      <c r="P4" s="16"/>
      <c r="Q4" s="15"/>
      <c r="R4" s="57"/>
      <c r="S4" s="58" t="s">
        <v>1</v>
      </c>
      <c r="T4" s="58"/>
    </row>
    <row r="5" spans="1:20" ht="32.25" customHeight="1" x14ac:dyDescent="0.35">
      <c r="B5" s="13"/>
      <c r="C5" s="14"/>
      <c r="D5" s="14"/>
      <c r="E5" s="15"/>
      <c r="F5" s="15"/>
      <c r="G5" s="15"/>
      <c r="H5" s="15"/>
      <c r="I5" s="15"/>
      <c r="J5" s="15"/>
      <c r="K5" s="15"/>
      <c r="P5" s="16"/>
      <c r="Q5" s="15"/>
      <c r="R5" s="57"/>
      <c r="S5" s="58" t="s">
        <v>106</v>
      </c>
      <c r="T5" s="58"/>
    </row>
    <row r="6" spans="1:20" ht="23.25" customHeight="1" x14ac:dyDescent="0.4">
      <c r="B6" s="13"/>
      <c r="C6" s="14"/>
      <c r="D6" s="14"/>
      <c r="E6" s="14"/>
      <c r="F6" s="14"/>
      <c r="G6" s="14"/>
      <c r="H6" s="14"/>
      <c r="I6" s="14"/>
      <c r="J6" s="14"/>
      <c r="K6" s="14"/>
      <c r="P6" s="15"/>
      <c r="Q6" s="15"/>
      <c r="R6" s="56"/>
      <c r="S6" s="56"/>
      <c r="T6" s="56"/>
    </row>
    <row r="7" spans="1:20" ht="23.25" customHeight="1" x14ac:dyDescent="0.4">
      <c r="B7" s="13"/>
      <c r="C7" s="14"/>
      <c r="D7" s="14"/>
      <c r="E7" s="14"/>
      <c r="F7" s="14"/>
      <c r="G7" s="14"/>
      <c r="H7" s="14"/>
      <c r="I7" s="14"/>
      <c r="J7" s="14"/>
      <c r="K7" s="14"/>
      <c r="L7" s="15"/>
      <c r="M7" s="15"/>
      <c r="N7" s="15"/>
      <c r="O7" s="15"/>
      <c r="P7" s="15"/>
      <c r="Q7" s="15"/>
      <c r="R7" s="56"/>
      <c r="S7" s="56"/>
      <c r="T7" s="56"/>
    </row>
    <row r="8" spans="1:20" ht="23.25" customHeight="1" x14ac:dyDescent="0.35">
      <c r="B8" s="13"/>
      <c r="C8" s="14"/>
      <c r="D8" s="14"/>
      <c r="E8" s="14"/>
      <c r="F8" s="14"/>
      <c r="G8" s="14"/>
      <c r="H8" s="14"/>
      <c r="I8" s="14"/>
      <c r="J8" s="14"/>
      <c r="K8" s="14"/>
      <c r="L8" s="15"/>
      <c r="M8" s="15"/>
      <c r="N8" s="15"/>
      <c r="O8" s="15"/>
      <c r="P8" s="15"/>
      <c r="Q8" s="15"/>
      <c r="R8" s="15"/>
      <c r="S8" s="15"/>
      <c r="T8" s="15"/>
    </row>
    <row r="9" spans="1:20" s="6" customFormat="1" ht="33.75" customHeight="1" x14ac:dyDescent="0.3">
      <c r="A9" s="100" t="s">
        <v>9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</row>
    <row r="10" spans="1:20" s="6" customFormat="1" ht="29.25" customHeight="1" x14ac:dyDescent="0.3">
      <c r="A10" s="100" t="s">
        <v>64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</row>
    <row r="11" spans="1:20" s="6" customFormat="1" ht="30.75" customHeight="1" x14ac:dyDescent="0.4">
      <c r="A11" s="101" t="s">
        <v>2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</row>
    <row r="12" spans="1:20" s="6" customFormat="1" ht="33.75" customHeight="1" x14ac:dyDescent="0.4">
      <c r="A12" s="101" t="s">
        <v>65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</row>
    <row r="13" spans="1:20" s="6" customFormat="1" ht="23.25" customHeight="1" x14ac:dyDescent="0.35">
      <c r="A13" s="12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7"/>
      <c r="M13" s="17"/>
      <c r="N13" s="17"/>
      <c r="O13" s="17"/>
      <c r="P13" s="17"/>
      <c r="Q13" s="17"/>
      <c r="R13" s="17"/>
      <c r="S13" s="17"/>
      <c r="T13" s="17"/>
    </row>
    <row r="14" spans="1:20" s="6" customFormat="1" ht="23.25" customHeight="1" x14ac:dyDescent="0.3">
      <c r="A14" s="12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20" ht="34.5" customHeight="1" x14ac:dyDescent="0.3">
      <c r="A15" s="99" t="s">
        <v>22</v>
      </c>
      <c r="B15" s="99" t="s">
        <v>23</v>
      </c>
      <c r="C15" s="99" t="s">
        <v>21</v>
      </c>
      <c r="D15" s="99" t="s">
        <v>0</v>
      </c>
      <c r="E15" s="99"/>
      <c r="F15" s="99"/>
      <c r="G15" s="99"/>
      <c r="H15" s="99" t="s">
        <v>92</v>
      </c>
      <c r="I15" s="99"/>
      <c r="J15" s="99"/>
      <c r="K15" s="99"/>
      <c r="L15" s="99" t="s">
        <v>99</v>
      </c>
      <c r="M15" s="99"/>
      <c r="N15" s="99"/>
      <c r="O15" s="99"/>
      <c r="P15" s="99" t="s">
        <v>92</v>
      </c>
      <c r="Q15" s="99"/>
      <c r="R15" s="99"/>
      <c r="S15" s="99"/>
      <c r="T15" s="99" t="s">
        <v>33</v>
      </c>
    </row>
    <row r="16" spans="1:20" ht="77.25" customHeight="1" x14ac:dyDescent="0.3">
      <c r="A16" s="99"/>
      <c r="B16" s="99"/>
      <c r="C16" s="99"/>
      <c r="D16" s="99" t="s">
        <v>30</v>
      </c>
      <c r="E16" s="99" t="s">
        <v>75</v>
      </c>
      <c r="F16" s="99"/>
      <c r="G16" s="99" t="s">
        <v>31</v>
      </c>
      <c r="H16" s="99" t="s">
        <v>30</v>
      </c>
      <c r="I16" s="99" t="s">
        <v>75</v>
      </c>
      <c r="J16" s="99"/>
      <c r="K16" s="99" t="s">
        <v>31</v>
      </c>
      <c r="L16" s="99" t="s">
        <v>30</v>
      </c>
      <c r="M16" s="99" t="s">
        <v>32</v>
      </c>
      <c r="N16" s="99"/>
      <c r="O16" s="99" t="s">
        <v>31</v>
      </c>
      <c r="P16" s="99" t="s">
        <v>30</v>
      </c>
      <c r="Q16" s="99" t="s">
        <v>32</v>
      </c>
      <c r="R16" s="99"/>
      <c r="S16" s="99" t="s">
        <v>31</v>
      </c>
      <c r="T16" s="99"/>
    </row>
    <row r="17" spans="1:26" ht="218.25" customHeight="1" x14ac:dyDescent="0.3">
      <c r="A17" s="99"/>
      <c r="B17" s="99"/>
      <c r="C17" s="99"/>
      <c r="D17" s="99"/>
      <c r="E17" s="69" t="s">
        <v>29</v>
      </c>
      <c r="F17" s="69" t="s">
        <v>28</v>
      </c>
      <c r="G17" s="99"/>
      <c r="H17" s="99"/>
      <c r="I17" s="69" t="s">
        <v>29</v>
      </c>
      <c r="J17" s="69" t="s">
        <v>28</v>
      </c>
      <c r="K17" s="99"/>
      <c r="L17" s="99"/>
      <c r="M17" s="69" t="s">
        <v>73</v>
      </c>
      <c r="N17" s="69" t="s">
        <v>28</v>
      </c>
      <c r="O17" s="99"/>
      <c r="P17" s="99"/>
      <c r="Q17" s="69" t="s">
        <v>73</v>
      </c>
      <c r="R17" s="69" t="s">
        <v>28</v>
      </c>
      <c r="S17" s="99"/>
      <c r="T17" s="99"/>
    </row>
    <row r="18" spans="1:26" ht="24.75" customHeight="1" x14ac:dyDescent="0.3">
      <c r="A18" s="70">
        <v>1</v>
      </c>
      <c r="B18" s="69">
        <f>A18+1</f>
        <v>2</v>
      </c>
      <c r="C18" s="69">
        <f t="shared" ref="C18:F18" si="0">B18+1</f>
        <v>3</v>
      </c>
      <c r="D18" s="69">
        <f t="shared" si="0"/>
        <v>4</v>
      </c>
      <c r="E18" s="69">
        <f t="shared" si="0"/>
        <v>5</v>
      </c>
      <c r="F18" s="69">
        <f t="shared" si="0"/>
        <v>6</v>
      </c>
      <c r="G18" s="69">
        <v>7</v>
      </c>
      <c r="H18" s="69">
        <v>8</v>
      </c>
      <c r="I18" s="69">
        <v>9</v>
      </c>
      <c r="J18" s="69">
        <v>10</v>
      </c>
      <c r="K18" s="69">
        <v>11</v>
      </c>
      <c r="L18" s="69">
        <v>12</v>
      </c>
      <c r="M18" s="69">
        <v>13</v>
      </c>
      <c r="N18" s="69">
        <v>14</v>
      </c>
      <c r="O18" s="69">
        <v>15</v>
      </c>
      <c r="P18" s="69">
        <v>16</v>
      </c>
      <c r="Q18" s="69">
        <v>17</v>
      </c>
      <c r="R18" s="69">
        <v>18</v>
      </c>
      <c r="S18" s="69">
        <v>19</v>
      </c>
      <c r="T18" s="69">
        <v>20</v>
      </c>
    </row>
    <row r="19" spans="1:26" ht="27" customHeight="1" x14ac:dyDescent="0.3">
      <c r="A19" s="88" t="s">
        <v>17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</row>
    <row r="20" spans="1:26" s="7" customFormat="1" ht="27" customHeight="1" x14ac:dyDescent="0.2">
      <c r="A20" s="88" t="s">
        <v>6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</row>
    <row r="21" spans="1:26" s="20" customFormat="1" ht="63" customHeight="1" x14ac:dyDescent="0.2">
      <c r="A21" s="67">
        <v>1</v>
      </c>
      <c r="B21" s="37" t="s">
        <v>34</v>
      </c>
      <c r="C21" s="89">
        <f>D21+H21+L21+P21+T21</f>
        <v>26536447.239999998</v>
      </c>
      <c r="D21" s="89">
        <f>SUM(E21:G24)</f>
        <v>617531.64</v>
      </c>
      <c r="E21" s="98">
        <v>617525.46</v>
      </c>
      <c r="F21" s="98">
        <v>6.18</v>
      </c>
      <c r="G21" s="89">
        <v>0</v>
      </c>
      <c r="H21" s="89">
        <f>SUM(I21:K25)</f>
        <v>2722562.62</v>
      </c>
      <c r="I21" s="89">
        <v>2722535.4</v>
      </c>
      <c r="J21" s="89">
        <v>27.22</v>
      </c>
      <c r="K21" s="89">
        <v>0</v>
      </c>
      <c r="L21" s="89">
        <f>SUM(M21:N24)</f>
        <v>5394804.3200000012</v>
      </c>
      <c r="M21" s="89">
        <f>5415642.69-20892.31</f>
        <v>5394750.3800000008</v>
      </c>
      <c r="N21" s="89">
        <f>54.16-0.22</f>
        <v>53.94</v>
      </c>
      <c r="O21" s="89">
        <v>0</v>
      </c>
      <c r="P21" s="90">
        <f>SUM(Q21:R25)</f>
        <v>17801548.659999996</v>
      </c>
      <c r="Q21" s="90">
        <f>18695022.99-893652.35</f>
        <v>17801370.639999997</v>
      </c>
      <c r="R21" s="90">
        <f>186.95-8.93</f>
        <v>178.01999999999998</v>
      </c>
      <c r="S21" s="90">
        <v>0</v>
      </c>
      <c r="T21" s="97">
        <v>0</v>
      </c>
    </row>
    <row r="22" spans="1:26" s="20" customFormat="1" ht="63" customHeight="1" x14ac:dyDescent="0.2">
      <c r="A22" s="67">
        <v>2</v>
      </c>
      <c r="B22" s="30" t="s">
        <v>35</v>
      </c>
      <c r="C22" s="89"/>
      <c r="D22" s="89"/>
      <c r="E22" s="98"/>
      <c r="F22" s="98"/>
      <c r="G22" s="89"/>
      <c r="H22" s="89"/>
      <c r="I22" s="89"/>
      <c r="J22" s="89"/>
      <c r="K22" s="89"/>
      <c r="L22" s="89"/>
      <c r="M22" s="89"/>
      <c r="N22" s="89"/>
      <c r="O22" s="89"/>
      <c r="P22" s="91"/>
      <c r="Q22" s="91"/>
      <c r="R22" s="91"/>
      <c r="S22" s="91"/>
      <c r="T22" s="97"/>
      <c r="W22" s="59"/>
      <c r="X22" s="21"/>
      <c r="Y22" s="21"/>
      <c r="Z22" s="21"/>
    </row>
    <row r="23" spans="1:26" s="20" customFormat="1" ht="63" customHeight="1" x14ac:dyDescent="0.2">
      <c r="A23" s="67">
        <v>3</v>
      </c>
      <c r="B23" s="37" t="s">
        <v>36</v>
      </c>
      <c r="C23" s="89"/>
      <c r="D23" s="89"/>
      <c r="E23" s="98"/>
      <c r="F23" s="98"/>
      <c r="G23" s="89"/>
      <c r="H23" s="89"/>
      <c r="I23" s="89"/>
      <c r="J23" s="89"/>
      <c r="K23" s="89"/>
      <c r="L23" s="89"/>
      <c r="M23" s="89"/>
      <c r="N23" s="89"/>
      <c r="O23" s="89"/>
      <c r="P23" s="91"/>
      <c r="Q23" s="91"/>
      <c r="R23" s="91"/>
      <c r="S23" s="91"/>
      <c r="T23" s="97"/>
      <c r="U23" s="21"/>
      <c r="V23" s="21"/>
      <c r="W23" s="21"/>
      <c r="X23" s="21"/>
    </row>
    <row r="24" spans="1:26" s="20" customFormat="1" ht="63" customHeight="1" x14ac:dyDescent="0.2">
      <c r="A24" s="67">
        <v>4</v>
      </c>
      <c r="B24" s="37" t="s">
        <v>37</v>
      </c>
      <c r="C24" s="89"/>
      <c r="D24" s="89"/>
      <c r="E24" s="98"/>
      <c r="F24" s="98"/>
      <c r="G24" s="89"/>
      <c r="H24" s="89"/>
      <c r="I24" s="89"/>
      <c r="J24" s="89"/>
      <c r="K24" s="89"/>
      <c r="L24" s="89"/>
      <c r="M24" s="89"/>
      <c r="N24" s="89"/>
      <c r="O24" s="89"/>
      <c r="P24" s="91"/>
      <c r="Q24" s="91"/>
      <c r="R24" s="91"/>
      <c r="S24" s="91"/>
      <c r="T24" s="97"/>
      <c r="V24" s="21"/>
    </row>
    <row r="25" spans="1:26" s="20" customFormat="1" ht="63" customHeight="1" x14ac:dyDescent="0.2">
      <c r="A25" s="67">
        <v>5</v>
      </c>
      <c r="B25" s="37" t="s">
        <v>74</v>
      </c>
      <c r="C25" s="89"/>
      <c r="D25" s="89"/>
      <c r="E25" s="98"/>
      <c r="F25" s="98"/>
      <c r="G25" s="89"/>
      <c r="H25" s="89"/>
      <c r="I25" s="89"/>
      <c r="J25" s="89"/>
      <c r="K25" s="89"/>
      <c r="L25" s="89"/>
      <c r="M25" s="89"/>
      <c r="N25" s="89"/>
      <c r="O25" s="89"/>
      <c r="P25" s="92"/>
      <c r="Q25" s="92"/>
      <c r="R25" s="92"/>
      <c r="S25" s="92"/>
      <c r="T25" s="97"/>
    </row>
    <row r="26" spans="1:26" s="20" customFormat="1" ht="73.5" customHeight="1" x14ac:dyDescent="0.2">
      <c r="A26" s="67"/>
      <c r="B26" s="71" t="s">
        <v>70</v>
      </c>
      <c r="C26" s="62">
        <f>D26+H26+L26+T26</f>
        <v>4000</v>
      </c>
      <c r="D26" s="62">
        <f>SUM(E26:G26)</f>
        <v>0</v>
      </c>
      <c r="E26" s="60">
        <v>0</v>
      </c>
      <c r="F26" s="60">
        <v>0</v>
      </c>
      <c r="G26" s="62">
        <v>0</v>
      </c>
      <c r="H26" s="62">
        <f>SUM(I26:K26)</f>
        <v>0</v>
      </c>
      <c r="I26" s="62">
        <v>0</v>
      </c>
      <c r="J26" s="62">
        <v>0</v>
      </c>
      <c r="K26" s="62">
        <v>0</v>
      </c>
      <c r="L26" s="26">
        <f>SUM(M26:N26)</f>
        <v>0</v>
      </c>
      <c r="M26" s="26">
        <v>0</v>
      </c>
      <c r="N26" s="26">
        <v>0</v>
      </c>
      <c r="O26" s="26">
        <v>0</v>
      </c>
      <c r="P26" s="26">
        <f>SUM(Q26:S26)</f>
        <v>0</v>
      </c>
      <c r="Q26" s="26">
        <v>0</v>
      </c>
      <c r="R26" s="26">
        <v>0</v>
      </c>
      <c r="S26" s="26">
        <v>0</v>
      </c>
      <c r="T26" s="26">
        <v>4000</v>
      </c>
    </row>
    <row r="27" spans="1:26" s="20" customFormat="1" ht="73.5" customHeight="1" x14ac:dyDescent="0.2">
      <c r="A27" s="67"/>
      <c r="B27" s="30" t="s">
        <v>5</v>
      </c>
      <c r="C27" s="61">
        <f t="shared" ref="C27:T27" si="1">SUM(C21:C26)</f>
        <v>26540447.239999998</v>
      </c>
      <c r="D27" s="81">
        <f t="shared" si="1"/>
        <v>617531.64</v>
      </c>
      <c r="E27" s="81">
        <f t="shared" si="1"/>
        <v>617525.46</v>
      </c>
      <c r="F27" s="81">
        <f t="shared" si="1"/>
        <v>6.18</v>
      </c>
      <c r="G27" s="81">
        <f t="shared" si="1"/>
        <v>0</v>
      </c>
      <c r="H27" s="81">
        <f t="shared" si="1"/>
        <v>2722562.62</v>
      </c>
      <c r="I27" s="81">
        <f t="shared" si="1"/>
        <v>2722535.4</v>
      </c>
      <c r="J27" s="81">
        <f t="shared" si="1"/>
        <v>27.22</v>
      </c>
      <c r="K27" s="81">
        <f t="shared" si="1"/>
        <v>0</v>
      </c>
      <c r="L27" s="81">
        <f t="shared" si="1"/>
        <v>5394804.3200000012</v>
      </c>
      <c r="M27" s="81">
        <f t="shared" si="1"/>
        <v>5394750.3800000008</v>
      </c>
      <c r="N27" s="81">
        <f t="shared" si="1"/>
        <v>53.94</v>
      </c>
      <c r="O27" s="81">
        <f t="shared" si="1"/>
        <v>0</v>
      </c>
      <c r="P27" s="81">
        <f t="shared" si="1"/>
        <v>17801548.659999996</v>
      </c>
      <c r="Q27" s="81">
        <f t="shared" si="1"/>
        <v>17801370.639999997</v>
      </c>
      <c r="R27" s="81">
        <f t="shared" si="1"/>
        <v>178.01999999999998</v>
      </c>
      <c r="S27" s="81">
        <f t="shared" si="1"/>
        <v>0</v>
      </c>
      <c r="T27" s="81">
        <f t="shared" si="1"/>
        <v>4000</v>
      </c>
    </row>
    <row r="28" spans="1:26" s="20" customFormat="1" ht="63" customHeight="1" x14ac:dyDescent="0.2">
      <c r="A28" s="93" t="s">
        <v>7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</row>
    <row r="29" spans="1:26" s="20" customFormat="1" ht="57" customHeight="1" x14ac:dyDescent="0.2">
      <c r="A29" s="45">
        <v>1</v>
      </c>
      <c r="B29" s="32" t="s">
        <v>38</v>
      </c>
      <c r="C29" s="90">
        <f>D29+H29+L29+P29+T29</f>
        <v>25837748.210000001</v>
      </c>
      <c r="D29" s="90">
        <f>SUM(E29:G32)</f>
        <v>0</v>
      </c>
      <c r="E29" s="94">
        <v>0</v>
      </c>
      <c r="F29" s="94">
        <v>0</v>
      </c>
      <c r="G29" s="90">
        <v>0</v>
      </c>
      <c r="H29" s="90">
        <f>SUM(I29:K30)</f>
        <v>0</v>
      </c>
      <c r="I29" s="90">
        <v>0</v>
      </c>
      <c r="J29" s="90">
        <v>0</v>
      </c>
      <c r="K29" s="90">
        <v>0</v>
      </c>
      <c r="L29" s="90">
        <f>SUM(M29:N32)</f>
        <v>9916849.0700000003</v>
      </c>
      <c r="M29" s="94">
        <v>9916749.9000000004</v>
      </c>
      <c r="N29" s="94">
        <v>99.17</v>
      </c>
      <c r="O29" s="90">
        <v>0</v>
      </c>
      <c r="P29" s="90">
        <f>SUM(Q29:R30)</f>
        <v>15898899.140000001</v>
      </c>
      <c r="Q29" s="90">
        <v>15898740.15</v>
      </c>
      <c r="R29" s="90">
        <v>158.99</v>
      </c>
      <c r="S29" s="90">
        <v>0</v>
      </c>
      <c r="T29" s="90">
        <v>22000</v>
      </c>
    </row>
    <row r="30" spans="1:26" s="20" customFormat="1" ht="59.25" customHeight="1" x14ac:dyDescent="0.2">
      <c r="A30" s="45">
        <v>2</v>
      </c>
      <c r="B30" s="32" t="s">
        <v>39</v>
      </c>
      <c r="C30" s="91"/>
      <c r="D30" s="91"/>
      <c r="E30" s="95"/>
      <c r="F30" s="95"/>
      <c r="G30" s="91"/>
      <c r="H30" s="91"/>
      <c r="I30" s="91"/>
      <c r="J30" s="91"/>
      <c r="K30" s="91"/>
      <c r="L30" s="91"/>
      <c r="M30" s="95"/>
      <c r="N30" s="95"/>
      <c r="O30" s="91"/>
      <c r="P30" s="91"/>
      <c r="Q30" s="91"/>
      <c r="R30" s="91"/>
      <c r="S30" s="91"/>
      <c r="T30" s="91"/>
      <c r="Y30" s="21"/>
      <c r="Z30" s="21"/>
    </row>
    <row r="31" spans="1:26" s="20" customFormat="1" ht="63" customHeight="1" x14ac:dyDescent="0.2">
      <c r="A31" s="46">
        <v>3</v>
      </c>
      <c r="B31" s="33" t="s">
        <v>40</v>
      </c>
      <c r="C31" s="91"/>
      <c r="D31" s="91"/>
      <c r="E31" s="95"/>
      <c r="F31" s="95"/>
      <c r="G31" s="91"/>
      <c r="H31" s="91"/>
      <c r="I31" s="91"/>
      <c r="J31" s="91"/>
      <c r="K31" s="91"/>
      <c r="L31" s="91"/>
      <c r="M31" s="95"/>
      <c r="N31" s="95"/>
      <c r="O31" s="91"/>
      <c r="P31" s="91"/>
      <c r="Q31" s="91"/>
      <c r="R31" s="91"/>
      <c r="S31" s="91"/>
      <c r="T31" s="91"/>
      <c r="Y31" s="21"/>
      <c r="Z31" s="21"/>
    </row>
    <row r="32" spans="1:26" s="20" customFormat="1" ht="63" customHeight="1" x14ac:dyDescent="0.2">
      <c r="A32" s="45">
        <v>4</v>
      </c>
      <c r="B32" s="32" t="s">
        <v>41</v>
      </c>
      <c r="C32" s="92"/>
      <c r="D32" s="92"/>
      <c r="E32" s="96"/>
      <c r="F32" s="96"/>
      <c r="G32" s="92"/>
      <c r="H32" s="92"/>
      <c r="I32" s="92"/>
      <c r="J32" s="92"/>
      <c r="K32" s="92"/>
      <c r="L32" s="92"/>
      <c r="M32" s="96"/>
      <c r="N32" s="96"/>
      <c r="O32" s="92"/>
      <c r="P32" s="92"/>
      <c r="Q32" s="92"/>
      <c r="R32" s="92"/>
      <c r="S32" s="92"/>
      <c r="T32" s="92"/>
    </row>
    <row r="33" spans="1:26" s="20" customFormat="1" ht="73.5" customHeight="1" x14ac:dyDescent="0.2">
      <c r="A33" s="47"/>
      <c r="B33" s="34" t="s">
        <v>8</v>
      </c>
      <c r="C33" s="61">
        <f>SUM(C29:C32)</f>
        <v>25837748.210000001</v>
      </c>
      <c r="D33" s="61">
        <f t="shared" ref="D33:T33" si="2">SUM(D29:D32)</f>
        <v>0</v>
      </c>
      <c r="E33" s="61">
        <f t="shared" si="2"/>
        <v>0</v>
      </c>
      <c r="F33" s="61">
        <f t="shared" si="2"/>
        <v>0</v>
      </c>
      <c r="G33" s="61">
        <f t="shared" si="2"/>
        <v>0</v>
      </c>
      <c r="H33" s="61">
        <f t="shared" si="2"/>
        <v>0</v>
      </c>
      <c r="I33" s="61">
        <f t="shared" si="2"/>
        <v>0</v>
      </c>
      <c r="J33" s="61">
        <f t="shared" si="2"/>
        <v>0</v>
      </c>
      <c r="K33" s="61">
        <f t="shared" si="2"/>
        <v>0</v>
      </c>
      <c r="L33" s="61">
        <f t="shared" si="2"/>
        <v>9916849.0700000003</v>
      </c>
      <c r="M33" s="61">
        <f t="shared" si="2"/>
        <v>9916749.9000000004</v>
      </c>
      <c r="N33" s="61">
        <f t="shared" si="2"/>
        <v>99.17</v>
      </c>
      <c r="O33" s="61">
        <f t="shared" si="2"/>
        <v>0</v>
      </c>
      <c r="P33" s="61">
        <f t="shared" si="2"/>
        <v>15898899.140000001</v>
      </c>
      <c r="Q33" s="61">
        <f t="shared" si="2"/>
        <v>15898740.15</v>
      </c>
      <c r="R33" s="61">
        <f>SUM(R29:R32)</f>
        <v>158.99</v>
      </c>
      <c r="S33" s="61">
        <f t="shared" si="2"/>
        <v>0</v>
      </c>
      <c r="T33" s="61">
        <f t="shared" si="2"/>
        <v>22000</v>
      </c>
    </row>
    <row r="34" spans="1:26" s="20" customFormat="1" ht="63" customHeight="1" x14ac:dyDescent="0.2">
      <c r="A34" s="114" t="s">
        <v>10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6"/>
    </row>
    <row r="35" spans="1:26" s="20" customFormat="1" ht="45.75" customHeight="1" x14ac:dyDescent="0.2">
      <c r="A35" s="44">
        <v>1</v>
      </c>
      <c r="B35" s="30" t="s">
        <v>42</v>
      </c>
      <c r="C35" s="90">
        <f>D35+H35+L35+P35+T35</f>
        <v>29840988.470000003</v>
      </c>
      <c r="D35" s="89">
        <f>SUM(E35:G40)</f>
        <v>973886.01</v>
      </c>
      <c r="E35" s="89">
        <v>973876.27</v>
      </c>
      <c r="F35" s="89">
        <v>9.74</v>
      </c>
      <c r="G35" s="89">
        <v>0</v>
      </c>
      <c r="H35" s="89">
        <f>SUM(I35:K41)</f>
        <v>5011598.05</v>
      </c>
      <c r="I35" s="89">
        <v>5011547.93</v>
      </c>
      <c r="J35" s="89">
        <v>50.12</v>
      </c>
      <c r="K35" s="89">
        <v>0</v>
      </c>
      <c r="L35" s="98">
        <f>SUM(M35:N40)</f>
        <v>9296294.0200000014</v>
      </c>
      <c r="M35" s="98">
        <v>9296201.0600000005</v>
      </c>
      <c r="N35" s="98">
        <v>92.96</v>
      </c>
      <c r="O35" s="98">
        <v>0</v>
      </c>
      <c r="P35" s="98">
        <f>SUM(Q35:S41)</f>
        <v>14559210.390000001</v>
      </c>
      <c r="Q35" s="89">
        <v>14559064.800000001</v>
      </c>
      <c r="R35" s="89">
        <v>145.59</v>
      </c>
      <c r="S35" s="98">
        <v>0</v>
      </c>
      <c r="T35" s="98">
        <v>0</v>
      </c>
    </row>
    <row r="36" spans="1:26" s="20" customFormat="1" ht="46.5" customHeight="1" x14ac:dyDescent="0.2">
      <c r="A36" s="44">
        <v>2</v>
      </c>
      <c r="B36" s="30" t="s">
        <v>43</v>
      </c>
      <c r="C36" s="91"/>
      <c r="D36" s="89"/>
      <c r="E36" s="89"/>
      <c r="F36" s="89"/>
      <c r="G36" s="89"/>
      <c r="H36" s="89"/>
      <c r="I36" s="89"/>
      <c r="J36" s="89"/>
      <c r="K36" s="89"/>
      <c r="L36" s="98"/>
      <c r="M36" s="98"/>
      <c r="N36" s="98"/>
      <c r="O36" s="98"/>
      <c r="P36" s="98"/>
      <c r="Q36" s="89"/>
      <c r="R36" s="89"/>
      <c r="S36" s="98"/>
      <c r="T36" s="98"/>
      <c r="Y36" s="21"/>
      <c r="Z36" s="21"/>
    </row>
    <row r="37" spans="1:26" s="20" customFormat="1" ht="52.5" customHeight="1" x14ac:dyDescent="0.2">
      <c r="A37" s="40">
        <v>3</v>
      </c>
      <c r="B37" s="35" t="s">
        <v>44</v>
      </c>
      <c r="C37" s="91"/>
      <c r="D37" s="90"/>
      <c r="E37" s="90"/>
      <c r="F37" s="90"/>
      <c r="G37" s="90"/>
      <c r="H37" s="90"/>
      <c r="I37" s="90"/>
      <c r="J37" s="90"/>
      <c r="K37" s="90"/>
      <c r="L37" s="94"/>
      <c r="M37" s="94"/>
      <c r="N37" s="94"/>
      <c r="O37" s="94"/>
      <c r="P37" s="94"/>
      <c r="Q37" s="90"/>
      <c r="R37" s="90"/>
      <c r="S37" s="94"/>
      <c r="T37" s="94"/>
    </row>
    <row r="38" spans="1:26" s="20" customFormat="1" ht="63" customHeight="1" x14ac:dyDescent="0.2">
      <c r="A38" s="44">
        <v>4</v>
      </c>
      <c r="B38" s="79" t="s">
        <v>45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</row>
    <row r="39" spans="1:26" s="20" customFormat="1" ht="63" customHeight="1" x14ac:dyDescent="0.2">
      <c r="A39" s="44">
        <v>5</v>
      </c>
      <c r="B39" s="79" t="s">
        <v>67</v>
      </c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</row>
    <row r="40" spans="1:26" s="20" customFormat="1" ht="63" customHeight="1" x14ac:dyDescent="0.2">
      <c r="A40" s="44">
        <v>6</v>
      </c>
      <c r="B40" s="79" t="s">
        <v>46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</row>
    <row r="41" spans="1:26" s="20" customFormat="1" ht="63" customHeight="1" x14ac:dyDescent="0.2">
      <c r="A41" s="44">
        <v>7</v>
      </c>
      <c r="B41" s="79" t="s">
        <v>87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</row>
    <row r="42" spans="1:26" s="20" customFormat="1" ht="72" customHeight="1" x14ac:dyDescent="0.2">
      <c r="A42" s="44"/>
      <c r="B42" s="71" t="s">
        <v>70</v>
      </c>
      <c r="C42" s="62">
        <f>D42+H42+M42+T42</f>
        <v>12000</v>
      </c>
      <c r="D42" s="62">
        <f>SUM(E42:G42)</f>
        <v>0</v>
      </c>
      <c r="E42" s="62">
        <v>0</v>
      </c>
      <c r="F42" s="62">
        <v>0</v>
      </c>
      <c r="G42" s="62">
        <v>0</v>
      </c>
      <c r="H42" s="62">
        <f>SUM(I42:K42)</f>
        <v>0</v>
      </c>
      <c r="I42" s="62">
        <v>0</v>
      </c>
      <c r="J42" s="62">
        <v>0</v>
      </c>
      <c r="K42" s="62">
        <v>0</v>
      </c>
      <c r="L42" s="60">
        <f>SUM(M42:N42)</f>
        <v>0</v>
      </c>
      <c r="M42" s="60">
        <v>0</v>
      </c>
      <c r="N42" s="60">
        <v>0</v>
      </c>
      <c r="O42" s="60">
        <v>0</v>
      </c>
      <c r="P42" s="60">
        <f>SUM(Q42:S42)</f>
        <v>0</v>
      </c>
      <c r="Q42" s="60">
        <v>0</v>
      </c>
      <c r="R42" s="60">
        <v>0</v>
      </c>
      <c r="S42" s="60">
        <v>0</v>
      </c>
      <c r="T42" s="60">
        <f>12000</f>
        <v>12000</v>
      </c>
    </row>
    <row r="43" spans="1:26" s="20" customFormat="1" ht="63" customHeight="1" x14ac:dyDescent="0.2">
      <c r="A43" s="68"/>
      <c r="B43" s="34" t="s">
        <v>11</v>
      </c>
      <c r="C43" s="61">
        <f>SUM(C35:C42)</f>
        <v>29852988.470000003</v>
      </c>
      <c r="D43" s="61">
        <f t="shared" ref="D43:T43" si="3">SUM(D35:D42)</f>
        <v>973886.01</v>
      </c>
      <c r="E43" s="61">
        <f t="shared" si="3"/>
        <v>973876.27</v>
      </c>
      <c r="F43" s="61">
        <f t="shared" si="3"/>
        <v>9.74</v>
      </c>
      <c r="G43" s="61">
        <f t="shared" si="3"/>
        <v>0</v>
      </c>
      <c r="H43" s="61">
        <f t="shared" si="3"/>
        <v>5011598.05</v>
      </c>
      <c r="I43" s="61">
        <f t="shared" si="3"/>
        <v>5011547.93</v>
      </c>
      <c r="J43" s="61">
        <f t="shared" si="3"/>
        <v>50.12</v>
      </c>
      <c r="K43" s="61">
        <f t="shared" si="3"/>
        <v>0</v>
      </c>
      <c r="L43" s="61">
        <f t="shared" si="3"/>
        <v>9296294.0200000014</v>
      </c>
      <c r="M43" s="61">
        <f t="shared" si="3"/>
        <v>9296201.0600000005</v>
      </c>
      <c r="N43" s="61">
        <f t="shared" si="3"/>
        <v>92.96</v>
      </c>
      <c r="O43" s="61">
        <f t="shared" si="3"/>
        <v>0</v>
      </c>
      <c r="P43" s="61">
        <f t="shared" si="3"/>
        <v>14559210.390000001</v>
      </c>
      <c r="Q43" s="61">
        <f t="shared" si="3"/>
        <v>14559064.800000001</v>
      </c>
      <c r="R43" s="61">
        <f t="shared" si="3"/>
        <v>145.59</v>
      </c>
      <c r="S43" s="61">
        <f t="shared" si="3"/>
        <v>0</v>
      </c>
      <c r="T43" s="61">
        <f t="shared" si="3"/>
        <v>12000</v>
      </c>
    </row>
    <row r="44" spans="1:26" s="20" customFormat="1" ht="63" customHeight="1" x14ac:dyDescent="0.2">
      <c r="A44" s="114" t="s">
        <v>12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6"/>
    </row>
    <row r="45" spans="1:26" s="20" customFormat="1" ht="63" customHeight="1" x14ac:dyDescent="0.2">
      <c r="A45" s="44">
        <v>1</v>
      </c>
      <c r="B45" s="30" t="s">
        <v>47</v>
      </c>
      <c r="C45" s="90">
        <f>D45+H45+L45+P45+T45</f>
        <v>15407117</v>
      </c>
      <c r="D45" s="90">
        <f>SUM(E45:G52)</f>
        <v>0</v>
      </c>
      <c r="E45" s="90">
        <v>0</v>
      </c>
      <c r="F45" s="90">
        <v>0</v>
      </c>
      <c r="G45" s="90">
        <v>0</v>
      </c>
      <c r="H45" s="90">
        <f>SUM(I45:K52)</f>
        <v>0</v>
      </c>
      <c r="I45" s="90">
        <v>0</v>
      </c>
      <c r="J45" s="90">
        <v>0</v>
      </c>
      <c r="K45" s="90">
        <v>0</v>
      </c>
      <c r="L45" s="94">
        <f>SUM(M45:O52)</f>
        <v>3511849.1500000004</v>
      </c>
      <c r="M45" s="90">
        <v>2772329.75</v>
      </c>
      <c r="N45" s="90">
        <v>27.72</v>
      </c>
      <c r="O45" s="90">
        <v>739491.68</v>
      </c>
      <c r="P45" s="94">
        <f>SUM(Q45:S52)</f>
        <v>11895267.85</v>
      </c>
      <c r="Q45" s="90">
        <v>11327646.25</v>
      </c>
      <c r="R45" s="90">
        <v>113.28</v>
      </c>
      <c r="S45" s="90">
        <v>567508.31999999995</v>
      </c>
      <c r="T45" s="94">
        <v>0</v>
      </c>
    </row>
    <row r="46" spans="1:26" s="20" customFormat="1" ht="63" customHeight="1" x14ac:dyDescent="0.2">
      <c r="A46" s="44">
        <v>2</v>
      </c>
      <c r="B46" s="30" t="s">
        <v>48</v>
      </c>
      <c r="C46" s="91"/>
      <c r="D46" s="91"/>
      <c r="E46" s="91"/>
      <c r="F46" s="91"/>
      <c r="G46" s="91"/>
      <c r="H46" s="91"/>
      <c r="I46" s="91"/>
      <c r="J46" s="91"/>
      <c r="K46" s="91"/>
      <c r="L46" s="95"/>
      <c r="M46" s="91"/>
      <c r="N46" s="91"/>
      <c r="O46" s="91"/>
      <c r="P46" s="95"/>
      <c r="Q46" s="91"/>
      <c r="R46" s="91"/>
      <c r="S46" s="91"/>
      <c r="T46" s="95"/>
    </row>
    <row r="47" spans="1:26" s="20" customFormat="1" ht="63" customHeight="1" x14ac:dyDescent="0.2">
      <c r="A47" s="44">
        <v>3</v>
      </c>
      <c r="B47" s="30" t="s">
        <v>49</v>
      </c>
      <c r="C47" s="91"/>
      <c r="D47" s="91"/>
      <c r="E47" s="91"/>
      <c r="F47" s="91"/>
      <c r="G47" s="91"/>
      <c r="H47" s="91"/>
      <c r="I47" s="91"/>
      <c r="J47" s="91"/>
      <c r="K47" s="91"/>
      <c r="L47" s="95"/>
      <c r="M47" s="91"/>
      <c r="N47" s="91"/>
      <c r="O47" s="91"/>
      <c r="P47" s="95"/>
      <c r="Q47" s="91"/>
      <c r="R47" s="91"/>
      <c r="S47" s="91"/>
      <c r="T47" s="95"/>
    </row>
    <row r="48" spans="1:26" s="20" customFormat="1" ht="63" customHeight="1" x14ac:dyDescent="0.2">
      <c r="A48" s="44">
        <v>4</v>
      </c>
      <c r="B48" s="30" t="s">
        <v>50</v>
      </c>
      <c r="C48" s="91"/>
      <c r="D48" s="91"/>
      <c r="E48" s="91"/>
      <c r="F48" s="91"/>
      <c r="G48" s="91"/>
      <c r="H48" s="91"/>
      <c r="I48" s="91"/>
      <c r="J48" s="91"/>
      <c r="K48" s="91"/>
      <c r="L48" s="95"/>
      <c r="M48" s="91"/>
      <c r="N48" s="91"/>
      <c r="O48" s="91"/>
      <c r="P48" s="95"/>
      <c r="Q48" s="91"/>
      <c r="R48" s="91"/>
      <c r="S48" s="91"/>
      <c r="T48" s="95"/>
    </row>
    <row r="49" spans="1:26" s="20" customFormat="1" ht="63" customHeight="1" x14ac:dyDescent="0.2">
      <c r="A49" s="44">
        <v>5</v>
      </c>
      <c r="B49" s="30" t="s">
        <v>51</v>
      </c>
      <c r="C49" s="91"/>
      <c r="D49" s="91"/>
      <c r="E49" s="91"/>
      <c r="F49" s="91"/>
      <c r="G49" s="91"/>
      <c r="H49" s="91"/>
      <c r="I49" s="91"/>
      <c r="J49" s="91"/>
      <c r="K49" s="91"/>
      <c r="L49" s="95"/>
      <c r="M49" s="91"/>
      <c r="N49" s="91"/>
      <c r="O49" s="91"/>
      <c r="P49" s="95"/>
      <c r="Q49" s="91"/>
      <c r="R49" s="91"/>
      <c r="S49" s="91"/>
      <c r="T49" s="95"/>
    </row>
    <row r="50" spans="1:26" s="20" customFormat="1" ht="63" customHeight="1" x14ac:dyDescent="0.2">
      <c r="A50" s="44">
        <v>6</v>
      </c>
      <c r="B50" s="30" t="s">
        <v>52</v>
      </c>
      <c r="C50" s="91"/>
      <c r="D50" s="91"/>
      <c r="E50" s="91"/>
      <c r="F50" s="91"/>
      <c r="G50" s="91"/>
      <c r="H50" s="91"/>
      <c r="I50" s="91"/>
      <c r="J50" s="91"/>
      <c r="K50" s="91"/>
      <c r="L50" s="95"/>
      <c r="M50" s="91"/>
      <c r="N50" s="91"/>
      <c r="O50" s="91"/>
      <c r="P50" s="95"/>
      <c r="Q50" s="91"/>
      <c r="R50" s="91"/>
      <c r="S50" s="91"/>
      <c r="T50" s="95"/>
    </row>
    <row r="51" spans="1:26" s="20" customFormat="1" ht="63" customHeight="1" x14ac:dyDescent="0.2">
      <c r="A51" s="44">
        <v>7</v>
      </c>
      <c r="B51" s="30" t="s">
        <v>53</v>
      </c>
      <c r="C51" s="91"/>
      <c r="D51" s="91"/>
      <c r="E51" s="91"/>
      <c r="F51" s="91"/>
      <c r="G51" s="91"/>
      <c r="H51" s="91"/>
      <c r="I51" s="91"/>
      <c r="J51" s="91"/>
      <c r="K51" s="91"/>
      <c r="L51" s="95"/>
      <c r="M51" s="91"/>
      <c r="N51" s="91"/>
      <c r="O51" s="91"/>
      <c r="P51" s="95"/>
      <c r="Q51" s="91"/>
      <c r="R51" s="91"/>
      <c r="S51" s="91"/>
      <c r="T51" s="95"/>
    </row>
    <row r="52" spans="1:26" s="20" customFormat="1" ht="63" customHeight="1" x14ac:dyDescent="0.2">
      <c r="A52" s="44">
        <v>8</v>
      </c>
      <c r="B52" s="30" t="s">
        <v>54</v>
      </c>
      <c r="C52" s="92"/>
      <c r="D52" s="92"/>
      <c r="E52" s="92"/>
      <c r="F52" s="92"/>
      <c r="G52" s="92"/>
      <c r="H52" s="92"/>
      <c r="I52" s="92"/>
      <c r="J52" s="92"/>
      <c r="K52" s="92"/>
      <c r="L52" s="96"/>
      <c r="M52" s="92"/>
      <c r="N52" s="92"/>
      <c r="O52" s="92"/>
      <c r="P52" s="96"/>
      <c r="Q52" s="92"/>
      <c r="R52" s="92"/>
      <c r="S52" s="92"/>
      <c r="T52" s="96"/>
    </row>
    <row r="53" spans="1:26" s="20" customFormat="1" ht="72" customHeight="1" x14ac:dyDescent="0.2">
      <c r="A53" s="44"/>
      <c r="B53" s="30" t="s">
        <v>70</v>
      </c>
      <c r="C53" s="62">
        <f>D53+H53+L53+T53</f>
        <v>9000</v>
      </c>
      <c r="D53" s="62">
        <f>SUM(E53:G53)</f>
        <v>0</v>
      </c>
      <c r="E53" s="62">
        <v>0</v>
      </c>
      <c r="F53" s="62">
        <v>0</v>
      </c>
      <c r="G53" s="62">
        <v>0</v>
      </c>
      <c r="H53" s="62">
        <f>SUM(I53:K53)</f>
        <v>0</v>
      </c>
      <c r="I53" s="62">
        <v>0</v>
      </c>
      <c r="J53" s="62">
        <v>0</v>
      </c>
      <c r="K53" s="62">
        <v>0</v>
      </c>
      <c r="L53" s="60">
        <f>SUM(M53:O53)</f>
        <v>0</v>
      </c>
      <c r="M53" s="60">
        <v>0</v>
      </c>
      <c r="N53" s="60">
        <v>0</v>
      </c>
      <c r="O53" s="60">
        <v>0</v>
      </c>
      <c r="P53" s="60">
        <f>SUM(Q53:S53)</f>
        <v>0</v>
      </c>
      <c r="Q53" s="60">
        <v>0</v>
      </c>
      <c r="R53" s="60">
        <v>0</v>
      </c>
      <c r="S53" s="60">
        <v>0</v>
      </c>
      <c r="T53" s="60">
        <v>9000</v>
      </c>
    </row>
    <row r="54" spans="1:26" s="20" customFormat="1" ht="63" customHeight="1" x14ac:dyDescent="0.2">
      <c r="A54" s="68"/>
      <c r="B54" s="34" t="s">
        <v>13</v>
      </c>
      <c r="C54" s="61">
        <f>SUM(C45:C53)</f>
        <v>15416117</v>
      </c>
      <c r="D54" s="61">
        <f t="shared" ref="D54:T54" si="4">SUM(D45:D53)</f>
        <v>0</v>
      </c>
      <c r="E54" s="61">
        <f t="shared" si="4"/>
        <v>0</v>
      </c>
      <c r="F54" s="61">
        <f t="shared" si="4"/>
        <v>0</v>
      </c>
      <c r="G54" s="61">
        <f t="shared" si="4"/>
        <v>0</v>
      </c>
      <c r="H54" s="61">
        <f t="shared" si="4"/>
        <v>0</v>
      </c>
      <c r="I54" s="61">
        <f t="shared" si="4"/>
        <v>0</v>
      </c>
      <c r="J54" s="61">
        <f t="shared" si="4"/>
        <v>0</v>
      </c>
      <c r="K54" s="61">
        <f t="shared" si="4"/>
        <v>0</v>
      </c>
      <c r="L54" s="61">
        <f t="shared" si="4"/>
        <v>3511849.1500000004</v>
      </c>
      <c r="M54" s="61">
        <f t="shared" si="4"/>
        <v>2772329.75</v>
      </c>
      <c r="N54" s="61">
        <f t="shared" si="4"/>
        <v>27.72</v>
      </c>
      <c r="O54" s="61">
        <f t="shared" si="4"/>
        <v>739491.68</v>
      </c>
      <c r="P54" s="61">
        <f t="shared" si="4"/>
        <v>11895267.85</v>
      </c>
      <c r="Q54" s="61">
        <f t="shared" si="4"/>
        <v>11327646.25</v>
      </c>
      <c r="R54" s="61">
        <f t="shared" si="4"/>
        <v>113.28</v>
      </c>
      <c r="S54" s="61">
        <f t="shared" si="4"/>
        <v>567508.31999999995</v>
      </c>
      <c r="T54" s="61">
        <f t="shared" si="4"/>
        <v>9000</v>
      </c>
    </row>
    <row r="55" spans="1:26" s="20" customFormat="1" ht="63" customHeight="1" x14ac:dyDescent="0.2">
      <c r="A55" s="114" t="s">
        <v>14</v>
      </c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6"/>
    </row>
    <row r="56" spans="1:26" s="20" customFormat="1" ht="63" customHeight="1" x14ac:dyDescent="0.2">
      <c r="A56" s="48">
        <v>1</v>
      </c>
      <c r="B56" s="36" t="s">
        <v>55</v>
      </c>
      <c r="C56" s="102">
        <f>D56+H56+L56+P56</f>
        <v>20000200</v>
      </c>
      <c r="D56" s="102">
        <v>0</v>
      </c>
      <c r="E56" s="102">
        <v>0</v>
      </c>
      <c r="F56" s="102">
        <v>0</v>
      </c>
      <c r="G56" s="102">
        <v>0</v>
      </c>
      <c r="H56" s="105">
        <v>0</v>
      </c>
      <c r="I56" s="105">
        <v>0</v>
      </c>
      <c r="J56" s="105">
        <v>0</v>
      </c>
      <c r="K56" s="105">
        <v>0</v>
      </c>
      <c r="L56" s="96">
        <f>M56+N56</f>
        <v>5126680.8099999996</v>
      </c>
      <c r="M56" s="102">
        <v>5126629.54</v>
      </c>
      <c r="N56" s="102">
        <v>51.27</v>
      </c>
      <c r="O56" s="94">
        <v>0</v>
      </c>
      <c r="P56" s="94">
        <f>Q56+R56</f>
        <v>14873519.190000001</v>
      </c>
      <c r="Q56" s="94">
        <v>14873370.460000001</v>
      </c>
      <c r="R56" s="94">
        <v>148.72999999999999</v>
      </c>
      <c r="S56" s="94">
        <v>0</v>
      </c>
      <c r="T56" s="96">
        <v>0</v>
      </c>
    </row>
    <row r="57" spans="1:26" s="20" customFormat="1" ht="63" customHeight="1" x14ac:dyDescent="0.2">
      <c r="A57" s="49">
        <v>2</v>
      </c>
      <c r="B57" s="37" t="s">
        <v>56</v>
      </c>
      <c r="C57" s="103"/>
      <c r="D57" s="103"/>
      <c r="E57" s="103"/>
      <c r="F57" s="103"/>
      <c r="G57" s="103"/>
      <c r="H57" s="106"/>
      <c r="I57" s="106"/>
      <c r="J57" s="106"/>
      <c r="K57" s="106"/>
      <c r="L57" s="98"/>
      <c r="M57" s="103"/>
      <c r="N57" s="103"/>
      <c r="O57" s="95"/>
      <c r="P57" s="95"/>
      <c r="Q57" s="95"/>
      <c r="R57" s="95"/>
      <c r="S57" s="95"/>
      <c r="T57" s="98"/>
      <c r="U57" s="21"/>
      <c r="V57" s="21"/>
      <c r="W57" s="21"/>
    </row>
    <row r="58" spans="1:26" s="20" customFormat="1" ht="63" customHeight="1" x14ac:dyDescent="0.2">
      <c r="A58" s="49">
        <v>3</v>
      </c>
      <c r="B58" s="37" t="s">
        <v>57</v>
      </c>
      <c r="C58" s="103"/>
      <c r="D58" s="103"/>
      <c r="E58" s="103"/>
      <c r="F58" s="103"/>
      <c r="G58" s="103"/>
      <c r="H58" s="102"/>
      <c r="I58" s="102"/>
      <c r="J58" s="102"/>
      <c r="K58" s="102"/>
      <c r="L58" s="98"/>
      <c r="M58" s="103"/>
      <c r="N58" s="103"/>
      <c r="O58" s="96"/>
      <c r="P58" s="96"/>
      <c r="Q58" s="96"/>
      <c r="R58" s="96"/>
      <c r="S58" s="96"/>
      <c r="T58" s="98"/>
      <c r="V58" s="21"/>
      <c r="W58" s="21"/>
    </row>
    <row r="59" spans="1:26" s="20" customFormat="1" ht="80.25" customHeight="1" x14ac:dyDescent="0.2">
      <c r="A59" s="49"/>
      <c r="B59" s="30" t="s">
        <v>70</v>
      </c>
      <c r="C59" s="62">
        <f>D59+H59+L59+T59</f>
        <v>6000</v>
      </c>
      <c r="D59" s="64">
        <f>SUM(E59:G59)</f>
        <v>0</v>
      </c>
      <c r="E59" s="64">
        <v>0</v>
      </c>
      <c r="F59" s="64">
        <v>0</v>
      </c>
      <c r="G59" s="64">
        <v>0</v>
      </c>
      <c r="H59" s="65">
        <f>SUM(I59:K59)</f>
        <v>0</v>
      </c>
      <c r="I59" s="65">
        <v>0</v>
      </c>
      <c r="J59" s="65">
        <v>0</v>
      </c>
      <c r="K59" s="65">
        <v>0</v>
      </c>
      <c r="L59" s="63">
        <f>SUM(M59:O59)</f>
        <v>0</v>
      </c>
      <c r="M59" s="64">
        <v>0</v>
      </c>
      <c r="N59" s="64">
        <v>0</v>
      </c>
      <c r="O59" s="60">
        <v>0</v>
      </c>
      <c r="P59" s="60">
        <f>SUM(Q59:S59)</f>
        <v>0</v>
      </c>
      <c r="Q59" s="60">
        <v>0</v>
      </c>
      <c r="R59" s="60">
        <v>0</v>
      </c>
      <c r="S59" s="60">
        <v>0</v>
      </c>
      <c r="T59" s="63">
        <v>6000</v>
      </c>
      <c r="V59" s="21"/>
      <c r="W59" s="21"/>
    </row>
    <row r="60" spans="1:26" s="20" customFormat="1" ht="63" customHeight="1" x14ac:dyDescent="0.2">
      <c r="A60" s="66"/>
      <c r="B60" s="34" t="s">
        <v>15</v>
      </c>
      <c r="C60" s="64">
        <f>SUM(C56:C59)</f>
        <v>20006200</v>
      </c>
      <c r="D60" s="64">
        <f t="shared" ref="D60:T60" si="5">SUM(D56:D59)</f>
        <v>0</v>
      </c>
      <c r="E60" s="64">
        <f t="shared" si="5"/>
        <v>0</v>
      </c>
      <c r="F60" s="64">
        <f t="shared" si="5"/>
        <v>0</v>
      </c>
      <c r="G60" s="64">
        <f t="shared" si="5"/>
        <v>0</v>
      </c>
      <c r="H60" s="64">
        <f t="shared" si="5"/>
        <v>0</v>
      </c>
      <c r="I60" s="64">
        <f t="shared" si="5"/>
        <v>0</v>
      </c>
      <c r="J60" s="64">
        <f t="shared" si="5"/>
        <v>0</v>
      </c>
      <c r="K60" s="64">
        <f t="shared" si="5"/>
        <v>0</v>
      </c>
      <c r="L60" s="64">
        <f t="shared" si="5"/>
        <v>5126680.8099999996</v>
      </c>
      <c r="M60" s="64">
        <f t="shared" si="5"/>
        <v>5126629.54</v>
      </c>
      <c r="N60" s="64">
        <f t="shared" si="5"/>
        <v>51.27</v>
      </c>
      <c r="O60" s="64">
        <f t="shared" si="5"/>
        <v>0</v>
      </c>
      <c r="P60" s="64">
        <f t="shared" si="5"/>
        <v>14873519.190000001</v>
      </c>
      <c r="Q60" s="64">
        <f t="shared" si="5"/>
        <v>14873370.460000001</v>
      </c>
      <c r="R60" s="64">
        <f t="shared" si="5"/>
        <v>148.72999999999999</v>
      </c>
      <c r="S60" s="64">
        <f t="shared" si="5"/>
        <v>0</v>
      </c>
      <c r="T60" s="64">
        <f t="shared" si="5"/>
        <v>6000</v>
      </c>
    </row>
    <row r="61" spans="1:26" s="20" customFormat="1" ht="63" customHeight="1" x14ac:dyDescent="0.2">
      <c r="A61" s="108" t="s">
        <v>16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1:26" s="19" customFormat="1" ht="63" customHeight="1" x14ac:dyDescent="0.2">
      <c r="A62" s="50">
        <v>1</v>
      </c>
      <c r="B62" s="38" t="s">
        <v>58</v>
      </c>
      <c r="C62" s="103">
        <f>D62+H62+L62+P62+T62</f>
        <v>4889578.5999999996</v>
      </c>
      <c r="D62" s="103">
        <f>SUM(E62:G64)</f>
        <v>124894.24</v>
      </c>
      <c r="E62" s="98">
        <f>124891.74+1.25</f>
        <v>124892.99</v>
      </c>
      <c r="F62" s="98">
        <v>1.25</v>
      </c>
      <c r="G62" s="103">
        <v>0</v>
      </c>
      <c r="H62" s="103">
        <f>SUM(I62:K62)</f>
        <v>0</v>
      </c>
      <c r="I62" s="103">
        <v>0</v>
      </c>
      <c r="J62" s="103">
        <v>0</v>
      </c>
      <c r="K62" s="103">
        <v>0</v>
      </c>
      <c r="L62" s="98">
        <f>SUM(M62:O62)</f>
        <v>2027116.6400000001</v>
      </c>
      <c r="M62" s="98">
        <f>2039774.61-313975.23</f>
        <v>1725799.3800000001</v>
      </c>
      <c r="N62" s="98">
        <f>20.47-3.21</f>
        <v>17.259999999999998</v>
      </c>
      <c r="O62" s="103">
        <v>301300</v>
      </c>
      <c r="P62" s="98">
        <f>SUM(Q62:S64)</f>
        <v>2737567.7199999997</v>
      </c>
      <c r="Q62" s="103">
        <f>2947853.8-210313.46</f>
        <v>2737540.34</v>
      </c>
      <c r="R62" s="103">
        <f>29.48-2.1</f>
        <v>27.38</v>
      </c>
      <c r="S62" s="103">
        <v>0</v>
      </c>
      <c r="T62" s="98">
        <v>0</v>
      </c>
    </row>
    <row r="63" spans="1:26" s="19" customFormat="1" ht="57" customHeight="1" x14ac:dyDescent="0.2">
      <c r="A63" s="50">
        <v>2</v>
      </c>
      <c r="B63" s="38" t="s">
        <v>59</v>
      </c>
      <c r="C63" s="103"/>
      <c r="D63" s="103"/>
      <c r="E63" s="98"/>
      <c r="F63" s="98"/>
      <c r="G63" s="103"/>
      <c r="H63" s="103"/>
      <c r="I63" s="103"/>
      <c r="J63" s="103"/>
      <c r="K63" s="103"/>
      <c r="L63" s="98"/>
      <c r="M63" s="98"/>
      <c r="N63" s="98"/>
      <c r="O63" s="103"/>
      <c r="P63" s="98"/>
      <c r="Q63" s="103"/>
      <c r="R63" s="103"/>
      <c r="S63" s="103"/>
      <c r="T63" s="98"/>
      <c r="Y63" s="22"/>
      <c r="Z63" s="22"/>
    </row>
    <row r="64" spans="1:26" s="19" customFormat="1" ht="63" customHeight="1" x14ac:dyDescent="0.2">
      <c r="A64" s="50">
        <v>3</v>
      </c>
      <c r="B64" s="39" t="s">
        <v>60</v>
      </c>
      <c r="C64" s="103"/>
      <c r="D64" s="103"/>
      <c r="E64" s="98"/>
      <c r="F64" s="98"/>
      <c r="G64" s="103"/>
      <c r="H64" s="103"/>
      <c r="I64" s="103"/>
      <c r="J64" s="103"/>
      <c r="K64" s="103"/>
      <c r="L64" s="98"/>
      <c r="M64" s="98"/>
      <c r="N64" s="98"/>
      <c r="O64" s="103"/>
      <c r="P64" s="98"/>
      <c r="Q64" s="103"/>
      <c r="R64" s="103"/>
      <c r="S64" s="103"/>
      <c r="T64" s="98"/>
    </row>
    <row r="65" spans="1:22" s="19" customFormat="1" ht="63" customHeight="1" x14ac:dyDescent="0.2">
      <c r="A65" s="50"/>
      <c r="B65" s="34" t="s">
        <v>27</v>
      </c>
      <c r="C65" s="64">
        <f t="shared" ref="C65:T65" si="6">SUM(C62:C64)</f>
        <v>4889578.5999999996</v>
      </c>
      <c r="D65" s="64">
        <f t="shared" si="6"/>
        <v>124894.24</v>
      </c>
      <c r="E65" s="64">
        <f t="shared" si="6"/>
        <v>124892.99</v>
      </c>
      <c r="F65" s="64">
        <f t="shared" si="6"/>
        <v>1.25</v>
      </c>
      <c r="G65" s="64">
        <f t="shared" si="6"/>
        <v>0</v>
      </c>
      <c r="H65" s="64">
        <f t="shared" si="6"/>
        <v>0</v>
      </c>
      <c r="I65" s="64">
        <f t="shared" si="6"/>
        <v>0</v>
      </c>
      <c r="J65" s="64">
        <f t="shared" si="6"/>
        <v>0</v>
      </c>
      <c r="K65" s="64">
        <f t="shared" si="6"/>
        <v>0</v>
      </c>
      <c r="L65" s="64">
        <f t="shared" si="6"/>
        <v>2027116.6400000001</v>
      </c>
      <c r="M65" s="64">
        <f t="shared" si="6"/>
        <v>1725799.3800000001</v>
      </c>
      <c r="N65" s="64">
        <f t="shared" si="6"/>
        <v>17.259999999999998</v>
      </c>
      <c r="O65" s="64">
        <f t="shared" si="6"/>
        <v>301300</v>
      </c>
      <c r="P65" s="64">
        <f t="shared" si="6"/>
        <v>2737567.7199999997</v>
      </c>
      <c r="Q65" s="64">
        <f t="shared" si="6"/>
        <v>2737540.34</v>
      </c>
      <c r="R65" s="64">
        <f t="shared" si="6"/>
        <v>27.38</v>
      </c>
      <c r="S65" s="64">
        <f t="shared" si="6"/>
        <v>0</v>
      </c>
      <c r="T65" s="64">
        <f t="shared" si="6"/>
        <v>0</v>
      </c>
    </row>
    <row r="66" spans="1:22" s="19" customFormat="1" ht="71.25" customHeight="1" x14ac:dyDescent="0.2">
      <c r="A66" s="66"/>
      <c r="B66" s="39" t="s">
        <v>26</v>
      </c>
      <c r="C66" s="64">
        <f t="shared" ref="C66:T66" si="7">C65+C60+C54+C43+C33+C27</f>
        <v>122543079.52</v>
      </c>
      <c r="D66" s="64">
        <f t="shared" si="7"/>
        <v>1716311.8900000001</v>
      </c>
      <c r="E66" s="64">
        <f t="shared" si="7"/>
        <v>1716294.72</v>
      </c>
      <c r="F66" s="64">
        <f t="shared" si="7"/>
        <v>17.170000000000002</v>
      </c>
      <c r="G66" s="64">
        <f t="shared" si="7"/>
        <v>0</v>
      </c>
      <c r="H66" s="64">
        <f t="shared" si="7"/>
        <v>7734160.6699999999</v>
      </c>
      <c r="I66" s="64">
        <f t="shared" si="7"/>
        <v>7734083.3300000001</v>
      </c>
      <c r="J66" s="64">
        <f t="shared" si="7"/>
        <v>77.34</v>
      </c>
      <c r="K66" s="64">
        <f t="shared" si="7"/>
        <v>0</v>
      </c>
      <c r="L66" s="64">
        <f t="shared" si="7"/>
        <v>35273594.010000005</v>
      </c>
      <c r="M66" s="64">
        <f t="shared" si="7"/>
        <v>34232460.010000005</v>
      </c>
      <c r="N66" s="64">
        <f t="shared" si="7"/>
        <v>342.32</v>
      </c>
      <c r="O66" s="64">
        <f t="shared" si="7"/>
        <v>1040791.68</v>
      </c>
      <c r="P66" s="64">
        <f t="shared" si="7"/>
        <v>77766012.949999988</v>
      </c>
      <c r="Q66" s="64">
        <f t="shared" si="7"/>
        <v>77197732.640000001</v>
      </c>
      <c r="R66" s="64">
        <f t="shared" si="7"/>
        <v>771.99</v>
      </c>
      <c r="S66" s="64">
        <f t="shared" si="7"/>
        <v>567508.31999999995</v>
      </c>
      <c r="T66" s="64">
        <f t="shared" si="7"/>
        <v>53000</v>
      </c>
    </row>
    <row r="67" spans="1:22" s="19" customFormat="1" ht="63" customHeight="1" x14ac:dyDescent="0.2">
      <c r="A67" s="117" t="s">
        <v>18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</row>
    <row r="68" spans="1:22" s="19" customFormat="1" ht="63" customHeight="1" x14ac:dyDescent="0.2">
      <c r="A68" s="93" t="s">
        <v>6</v>
      </c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</row>
    <row r="69" spans="1:22" s="19" customFormat="1" ht="66.75" customHeight="1" x14ac:dyDescent="0.2">
      <c r="A69" s="51">
        <v>1</v>
      </c>
      <c r="B69" s="30" t="s">
        <v>76</v>
      </c>
      <c r="C69" s="64">
        <f>D69+H69+L69+T69</f>
        <v>1439022.0399999998</v>
      </c>
      <c r="D69" s="64">
        <f>SUM(E69:G69)</f>
        <v>0</v>
      </c>
      <c r="E69" s="64">
        <v>0</v>
      </c>
      <c r="F69" s="64">
        <v>0</v>
      </c>
      <c r="G69" s="64">
        <v>0</v>
      </c>
      <c r="H69" s="64">
        <f>SUM(I69:K69)</f>
        <v>0</v>
      </c>
      <c r="I69" s="64">
        <v>0</v>
      </c>
      <c r="J69" s="64">
        <v>0</v>
      </c>
      <c r="K69" s="64">
        <v>0</v>
      </c>
      <c r="L69" s="64">
        <f>SUM(M69:N69)</f>
        <v>1439022.0399999998</v>
      </c>
      <c r="M69" s="23">
        <f>2299977-860969.35</f>
        <v>1439007.65</v>
      </c>
      <c r="N69" s="23">
        <f>23-8.61</f>
        <v>14.39</v>
      </c>
      <c r="O69" s="23">
        <v>0</v>
      </c>
      <c r="P69" s="23">
        <f>SUM(Q69:S69)</f>
        <v>0</v>
      </c>
      <c r="Q69" s="23">
        <v>0</v>
      </c>
      <c r="R69" s="23">
        <v>0</v>
      </c>
      <c r="S69" s="23">
        <v>0</v>
      </c>
      <c r="T69" s="64">
        <v>0</v>
      </c>
    </row>
    <row r="70" spans="1:22" s="19" customFormat="1" ht="79.5" customHeight="1" x14ac:dyDescent="0.2">
      <c r="A70" s="51"/>
      <c r="B70" s="30" t="s">
        <v>70</v>
      </c>
      <c r="C70" s="64">
        <f>D70+H70+L70+T70</f>
        <v>12000</v>
      </c>
      <c r="D70" s="64">
        <f>SUM(E70:G70)</f>
        <v>0</v>
      </c>
      <c r="E70" s="64">
        <v>0</v>
      </c>
      <c r="F70" s="64">
        <v>0</v>
      </c>
      <c r="G70" s="64">
        <v>0</v>
      </c>
      <c r="H70" s="64">
        <f>SUM(I70:K70)</f>
        <v>0</v>
      </c>
      <c r="I70" s="64">
        <v>0</v>
      </c>
      <c r="J70" s="64">
        <v>0</v>
      </c>
      <c r="K70" s="64">
        <v>0</v>
      </c>
      <c r="L70" s="64">
        <f>SUM(M70:N70)</f>
        <v>0</v>
      </c>
      <c r="M70" s="23">
        <v>0</v>
      </c>
      <c r="N70" s="23">
        <v>0</v>
      </c>
      <c r="O70" s="23">
        <v>0</v>
      </c>
      <c r="P70" s="23">
        <f>SUM(Q70:S70)</f>
        <v>0</v>
      </c>
      <c r="Q70" s="23">
        <v>0</v>
      </c>
      <c r="R70" s="23">
        <v>0</v>
      </c>
      <c r="S70" s="23">
        <v>0</v>
      </c>
      <c r="T70" s="64">
        <v>12000</v>
      </c>
    </row>
    <row r="71" spans="1:22" s="19" customFormat="1" ht="71.25" customHeight="1" x14ac:dyDescent="0.2">
      <c r="A71" s="66"/>
      <c r="B71" s="30" t="s">
        <v>5</v>
      </c>
      <c r="C71" s="64">
        <f>SUM(C69:C70)</f>
        <v>1451022.0399999998</v>
      </c>
      <c r="D71" s="64">
        <f t="shared" ref="D71:T71" si="8">SUM(D69:D70)</f>
        <v>0</v>
      </c>
      <c r="E71" s="64">
        <f t="shared" si="8"/>
        <v>0</v>
      </c>
      <c r="F71" s="64">
        <f t="shared" si="8"/>
        <v>0</v>
      </c>
      <c r="G71" s="64">
        <f t="shared" si="8"/>
        <v>0</v>
      </c>
      <c r="H71" s="64">
        <f t="shared" si="8"/>
        <v>0</v>
      </c>
      <c r="I71" s="64">
        <f t="shared" si="8"/>
        <v>0</v>
      </c>
      <c r="J71" s="64">
        <f t="shared" si="8"/>
        <v>0</v>
      </c>
      <c r="K71" s="64">
        <f t="shared" si="8"/>
        <v>0</v>
      </c>
      <c r="L71" s="64">
        <f t="shared" si="8"/>
        <v>1439022.0399999998</v>
      </c>
      <c r="M71" s="64">
        <f t="shared" si="8"/>
        <v>1439007.65</v>
      </c>
      <c r="N71" s="64">
        <f t="shared" si="8"/>
        <v>14.39</v>
      </c>
      <c r="O71" s="64">
        <f t="shared" si="8"/>
        <v>0</v>
      </c>
      <c r="P71" s="64">
        <f t="shared" si="8"/>
        <v>0</v>
      </c>
      <c r="Q71" s="64">
        <f t="shared" si="8"/>
        <v>0</v>
      </c>
      <c r="R71" s="64">
        <f t="shared" si="8"/>
        <v>0</v>
      </c>
      <c r="S71" s="64">
        <f t="shared" si="8"/>
        <v>0</v>
      </c>
      <c r="T71" s="64">
        <f t="shared" si="8"/>
        <v>12000</v>
      </c>
    </row>
    <row r="72" spans="1:22" s="19" customFormat="1" ht="63" customHeight="1" x14ac:dyDescent="0.2">
      <c r="A72" s="93" t="s">
        <v>7</v>
      </c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</row>
    <row r="73" spans="1:22" s="19" customFormat="1" ht="63" customHeight="1" x14ac:dyDescent="0.2">
      <c r="A73" s="52">
        <v>1</v>
      </c>
      <c r="B73" s="31" t="s">
        <v>77</v>
      </c>
      <c r="C73" s="23">
        <f>D73+H73+L73+T73</f>
        <v>19599825.770000003</v>
      </c>
      <c r="D73" s="64">
        <f>SUM(E73:G73)</f>
        <v>0</v>
      </c>
      <c r="E73" s="64">
        <v>0</v>
      </c>
      <c r="F73" s="64">
        <v>0</v>
      </c>
      <c r="G73" s="64">
        <v>0</v>
      </c>
      <c r="H73" s="64">
        <f>SUM(I73:K73)</f>
        <v>0</v>
      </c>
      <c r="I73" s="64">
        <v>0</v>
      </c>
      <c r="J73" s="64">
        <v>0</v>
      </c>
      <c r="K73" s="64">
        <v>0</v>
      </c>
      <c r="L73" s="23">
        <f>SUM(M73:N73)</f>
        <v>19599825.770000003</v>
      </c>
      <c r="M73" s="23">
        <f>13099869+4499955+524288.69+1775514.01-299997</f>
        <v>19599629.700000003</v>
      </c>
      <c r="N73" s="23">
        <f>131+45+5.31+17.76-3</f>
        <v>196.07</v>
      </c>
      <c r="O73" s="23">
        <v>0</v>
      </c>
      <c r="P73" s="23">
        <f>SUM(Q73:S73)</f>
        <v>0</v>
      </c>
      <c r="Q73" s="23">
        <v>0</v>
      </c>
      <c r="R73" s="23">
        <v>0</v>
      </c>
      <c r="S73" s="23">
        <v>0</v>
      </c>
      <c r="T73" s="23">
        <v>0</v>
      </c>
    </row>
    <row r="74" spans="1:22" s="19" customFormat="1" ht="79.5" customHeight="1" x14ac:dyDescent="0.2">
      <c r="A74" s="52"/>
      <c r="B74" s="30" t="s">
        <v>70</v>
      </c>
      <c r="C74" s="23">
        <f>D74+H74+L74+T74</f>
        <v>22000</v>
      </c>
      <c r="D74" s="64">
        <f>SUM(E74:G74)</f>
        <v>0</v>
      </c>
      <c r="E74" s="64">
        <v>0</v>
      </c>
      <c r="F74" s="64">
        <v>0</v>
      </c>
      <c r="G74" s="64">
        <v>0</v>
      </c>
      <c r="H74" s="64">
        <f>SUM(I74:K74)</f>
        <v>0</v>
      </c>
      <c r="I74" s="64">
        <v>0</v>
      </c>
      <c r="J74" s="64">
        <v>0</v>
      </c>
      <c r="K74" s="64">
        <v>0</v>
      </c>
      <c r="L74" s="64">
        <f>SUM(M74:N74)</f>
        <v>0</v>
      </c>
      <c r="M74" s="23">
        <v>0</v>
      </c>
      <c r="N74" s="23">
        <v>0</v>
      </c>
      <c r="O74" s="23">
        <v>0</v>
      </c>
      <c r="P74" s="23">
        <f>SUM(Q74:S74)</f>
        <v>0</v>
      </c>
      <c r="Q74" s="23">
        <v>0</v>
      </c>
      <c r="R74" s="23">
        <v>0</v>
      </c>
      <c r="S74" s="23">
        <v>0</v>
      </c>
      <c r="T74" s="64">
        <v>22000</v>
      </c>
    </row>
    <row r="75" spans="1:22" s="19" customFormat="1" ht="71.25" customHeight="1" x14ac:dyDescent="0.2">
      <c r="A75" s="66"/>
      <c r="B75" s="34" t="s">
        <v>8</v>
      </c>
      <c r="C75" s="64">
        <f>SUM(C73:C74)</f>
        <v>19621825.770000003</v>
      </c>
      <c r="D75" s="64">
        <f t="shared" ref="D75:T75" si="9">SUM(D73:D74)</f>
        <v>0</v>
      </c>
      <c r="E75" s="64">
        <f t="shared" si="9"/>
        <v>0</v>
      </c>
      <c r="F75" s="64">
        <f t="shared" si="9"/>
        <v>0</v>
      </c>
      <c r="G75" s="64">
        <f t="shared" si="9"/>
        <v>0</v>
      </c>
      <c r="H75" s="64">
        <f t="shared" si="9"/>
        <v>0</v>
      </c>
      <c r="I75" s="64">
        <f t="shared" si="9"/>
        <v>0</v>
      </c>
      <c r="J75" s="64">
        <f t="shared" si="9"/>
        <v>0</v>
      </c>
      <c r="K75" s="64">
        <f t="shared" si="9"/>
        <v>0</v>
      </c>
      <c r="L75" s="64">
        <f t="shared" si="9"/>
        <v>19599825.770000003</v>
      </c>
      <c r="M75" s="64">
        <f t="shared" si="9"/>
        <v>19599629.700000003</v>
      </c>
      <c r="N75" s="64">
        <f t="shared" si="9"/>
        <v>196.07</v>
      </c>
      <c r="O75" s="64">
        <f t="shared" si="9"/>
        <v>0</v>
      </c>
      <c r="P75" s="64">
        <f t="shared" si="9"/>
        <v>0</v>
      </c>
      <c r="Q75" s="64">
        <f t="shared" si="9"/>
        <v>0</v>
      </c>
      <c r="R75" s="64">
        <f t="shared" si="9"/>
        <v>0</v>
      </c>
      <c r="S75" s="64">
        <f t="shared" si="9"/>
        <v>0</v>
      </c>
      <c r="T75" s="64">
        <f t="shared" si="9"/>
        <v>22000</v>
      </c>
    </row>
    <row r="76" spans="1:22" s="19" customFormat="1" ht="63" customHeight="1" x14ac:dyDescent="0.2">
      <c r="A76" s="114" t="s">
        <v>10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6"/>
    </row>
    <row r="77" spans="1:22" s="19" customFormat="1" ht="114.75" customHeight="1" x14ac:dyDescent="0.2">
      <c r="A77" s="49">
        <v>1</v>
      </c>
      <c r="B77" s="30" t="s">
        <v>78</v>
      </c>
      <c r="C77" s="23">
        <f>D77+H77+L77+T77</f>
        <v>5800000</v>
      </c>
      <c r="D77" s="64">
        <f t="shared" ref="D77:D78" si="10">SUM(E77:G77)</f>
        <v>0</v>
      </c>
      <c r="E77" s="64">
        <v>0</v>
      </c>
      <c r="F77" s="64">
        <v>0</v>
      </c>
      <c r="G77" s="64">
        <v>0</v>
      </c>
      <c r="H77" s="64">
        <f>SUM(I77:K77)</f>
        <v>0</v>
      </c>
      <c r="I77" s="64">
        <v>0</v>
      </c>
      <c r="J77" s="64">
        <v>0</v>
      </c>
      <c r="K77" s="64">
        <v>0</v>
      </c>
      <c r="L77" s="64">
        <f>SUM(M77:N77)</f>
        <v>5800000</v>
      </c>
      <c r="M77" s="64">
        <f>7499925-1699983</f>
        <v>5799942</v>
      </c>
      <c r="N77" s="64">
        <f>75-17</f>
        <v>58</v>
      </c>
      <c r="O77" s="23">
        <v>0</v>
      </c>
      <c r="P77" s="23">
        <f>SUM(Q77:S77)</f>
        <v>0</v>
      </c>
      <c r="Q77" s="23">
        <v>0</v>
      </c>
      <c r="R77" s="23">
        <v>0</v>
      </c>
      <c r="S77" s="23">
        <v>0</v>
      </c>
      <c r="T77" s="64">
        <v>0</v>
      </c>
    </row>
    <row r="78" spans="1:22" s="19" customFormat="1" ht="63" customHeight="1" x14ac:dyDescent="0.2">
      <c r="A78" s="49">
        <v>2</v>
      </c>
      <c r="B78" s="30" t="s">
        <v>79</v>
      </c>
      <c r="C78" s="23">
        <f>D78+H78+L78+T78</f>
        <v>1490000</v>
      </c>
      <c r="D78" s="64">
        <f t="shared" si="10"/>
        <v>0</v>
      </c>
      <c r="E78" s="64">
        <v>0</v>
      </c>
      <c r="F78" s="64">
        <v>0</v>
      </c>
      <c r="G78" s="64">
        <v>0</v>
      </c>
      <c r="H78" s="64">
        <f t="shared" ref="H78:H80" si="11">SUM(I78:K78)</f>
        <v>0</v>
      </c>
      <c r="I78" s="64">
        <v>0</v>
      </c>
      <c r="J78" s="64">
        <v>0</v>
      </c>
      <c r="K78" s="64">
        <v>0</v>
      </c>
      <c r="L78" s="64">
        <f>SUM(M78:N78)</f>
        <v>1490000</v>
      </c>
      <c r="M78" s="64">
        <v>1489985.1</v>
      </c>
      <c r="N78" s="64">
        <v>14.9</v>
      </c>
      <c r="O78" s="23">
        <v>0</v>
      </c>
      <c r="P78" s="23">
        <f t="shared" ref="P78:P80" si="12">SUM(Q78:S78)</f>
        <v>0</v>
      </c>
      <c r="Q78" s="23">
        <v>0</v>
      </c>
      <c r="R78" s="23">
        <v>0</v>
      </c>
      <c r="S78" s="23">
        <v>0</v>
      </c>
      <c r="T78" s="64">
        <v>0</v>
      </c>
      <c r="U78" s="22"/>
      <c r="V78" s="22"/>
    </row>
    <row r="79" spans="1:22" s="19" customFormat="1" ht="93" customHeight="1" x14ac:dyDescent="0.2">
      <c r="A79" s="49">
        <v>3</v>
      </c>
      <c r="B79" s="30" t="s">
        <v>80</v>
      </c>
      <c r="C79" s="23">
        <f>D79+H79+L79+T79</f>
        <v>4970000</v>
      </c>
      <c r="D79" s="64">
        <f t="shared" ref="D79:D80" si="13">SUM(E79:G79)</f>
        <v>0</v>
      </c>
      <c r="E79" s="64">
        <v>0</v>
      </c>
      <c r="F79" s="64">
        <v>0</v>
      </c>
      <c r="G79" s="64">
        <v>0</v>
      </c>
      <c r="H79" s="64">
        <f t="shared" si="11"/>
        <v>0</v>
      </c>
      <c r="I79" s="64">
        <v>0</v>
      </c>
      <c r="J79" s="64">
        <v>0</v>
      </c>
      <c r="K79" s="64">
        <v>0</v>
      </c>
      <c r="L79" s="64">
        <f>SUM(M79:N79)</f>
        <v>4970000</v>
      </c>
      <c r="M79" s="64">
        <v>4969950.3</v>
      </c>
      <c r="N79" s="64">
        <v>49.7</v>
      </c>
      <c r="O79" s="23">
        <v>0</v>
      </c>
      <c r="P79" s="23">
        <f t="shared" si="12"/>
        <v>0</v>
      </c>
      <c r="Q79" s="23">
        <v>0</v>
      </c>
      <c r="R79" s="23">
        <v>0</v>
      </c>
      <c r="S79" s="23">
        <v>0</v>
      </c>
      <c r="T79" s="64">
        <v>0</v>
      </c>
      <c r="U79" s="22"/>
      <c r="V79" s="22"/>
    </row>
    <row r="80" spans="1:22" s="19" customFormat="1" ht="76.5" customHeight="1" x14ac:dyDescent="0.2">
      <c r="A80" s="49"/>
      <c r="B80" s="30" t="s">
        <v>70</v>
      </c>
      <c r="C80" s="23">
        <f>D80+H80+L80+T80</f>
        <v>26000</v>
      </c>
      <c r="D80" s="64">
        <f t="shared" si="13"/>
        <v>0</v>
      </c>
      <c r="E80" s="64">
        <v>0</v>
      </c>
      <c r="F80" s="64">
        <v>0</v>
      </c>
      <c r="G80" s="64">
        <v>0</v>
      </c>
      <c r="H80" s="64">
        <f t="shared" si="11"/>
        <v>0</v>
      </c>
      <c r="I80" s="64">
        <v>0</v>
      </c>
      <c r="J80" s="64">
        <v>0</v>
      </c>
      <c r="K80" s="64">
        <v>0</v>
      </c>
      <c r="L80" s="64">
        <f>SUM(M80:N80)</f>
        <v>0</v>
      </c>
      <c r="M80" s="64">
        <v>0</v>
      </c>
      <c r="N80" s="64">
        <v>0</v>
      </c>
      <c r="O80" s="23">
        <v>0</v>
      </c>
      <c r="P80" s="23">
        <f t="shared" si="12"/>
        <v>0</v>
      </c>
      <c r="Q80" s="23">
        <v>0</v>
      </c>
      <c r="R80" s="23">
        <v>0</v>
      </c>
      <c r="S80" s="23">
        <v>0</v>
      </c>
      <c r="T80" s="64">
        <f>6000+20000</f>
        <v>26000</v>
      </c>
      <c r="U80" s="22"/>
    </row>
    <row r="81" spans="1:20" s="19" customFormat="1" ht="63" customHeight="1" x14ac:dyDescent="0.2">
      <c r="A81" s="66"/>
      <c r="B81" s="34" t="s">
        <v>11</v>
      </c>
      <c r="C81" s="23">
        <f>SUM(C77:C80)</f>
        <v>12286000</v>
      </c>
      <c r="D81" s="23">
        <f t="shared" ref="D81:T81" si="14">SUM(D77:D80)</f>
        <v>0</v>
      </c>
      <c r="E81" s="23">
        <f t="shared" si="14"/>
        <v>0</v>
      </c>
      <c r="F81" s="23">
        <f t="shared" si="14"/>
        <v>0</v>
      </c>
      <c r="G81" s="23">
        <f t="shared" si="14"/>
        <v>0</v>
      </c>
      <c r="H81" s="23">
        <f t="shared" si="14"/>
        <v>0</v>
      </c>
      <c r="I81" s="23">
        <f t="shared" si="14"/>
        <v>0</v>
      </c>
      <c r="J81" s="23">
        <f t="shared" si="14"/>
        <v>0</v>
      </c>
      <c r="K81" s="23">
        <f t="shared" si="14"/>
        <v>0</v>
      </c>
      <c r="L81" s="23">
        <f t="shared" si="14"/>
        <v>12260000</v>
      </c>
      <c r="M81" s="23">
        <f t="shared" si="14"/>
        <v>12259877.399999999</v>
      </c>
      <c r="N81" s="23">
        <f t="shared" si="14"/>
        <v>122.60000000000001</v>
      </c>
      <c r="O81" s="23">
        <f t="shared" si="14"/>
        <v>0</v>
      </c>
      <c r="P81" s="23">
        <f t="shared" si="14"/>
        <v>0</v>
      </c>
      <c r="Q81" s="23">
        <f t="shared" si="14"/>
        <v>0</v>
      </c>
      <c r="R81" s="23">
        <f t="shared" si="14"/>
        <v>0</v>
      </c>
      <c r="S81" s="23">
        <f t="shared" si="14"/>
        <v>0</v>
      </c>
      <c r="T81" s="23">
        <f t="shared" si="14"/>
        <v>26000</v>
      </c>
    </row>
    <row r="82" spans="1:20" s="19" customFormat="1" ht="63" customHeight="1" x14ac:dyDescent="0.2">
      <c r="A82" s="104" t="s">
        <v>12</v>
      </c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</row>
    <row r="83" spans="1:20" s="19" customFormat="1" ht="84" customHeight="1" x14ac:dyDescent="0.2">
      <c r="A83" s="40">
        <v>1</v>
      </c>
      <c r="B83" s="41" t="s">
        <v>81</v>
      </c>
      <c r="C83" s="65">
        <f>D83+H83+L83+T83</f>
        <v>1216000</v>
      </c>
      <c r="D83" s="62">
        <f>SUM(E83:G83)</f>
        <v>0</v>
      </c>
      <c r="E83" s="65">
        <v>0</v>
      </c>
      <c r="F83" s="65">
        <v>0</v>
      </c>
      <c r="G83" s="65">
        <v>0</v>
      </c>
      <c r="H83" s="65">
        <f>SUM(I83:K83)</f>
        <v>0</v>
      </c>
      <c r="I83" s="64">
        <v>0</v>
      </c>
      <c r="J83" s="64">
        <v>0</v>
      </c>
      <c r="K83" s="64">
        <v>0</v>
      </c>
      <c r="L83" s="60">
        <f>SUM(M83:N83)</f>
        <v>1216000</v>
      </c>
      <c r="M83" s="60">
        <f>255997.44+659993.4+299997</f>
        <v>1215987.8400000001</v>
      </c>
      <c r="N83" s="60">
        <f>2.56+6.6+3</f>
        <v>12.16</v>
      </c>
      <c r="O83" s="23">
        <v>0</v>
      </c>
      <c r="P83" s="23">
        <f t="shared" ref="P83:P85" si="15">SUM(Q83:S83)</f>
        <v>0</v>
      </c>
      <c r="Q83" s="23">
        <v>0</v>
      </c>
      <c r="R83" s="23">
        <v>0</v>
      </c>
      <c r="S83" s="23">
        <v>0</v>
      </c>
      <c r="T83" s="60">
        <v>0</v>
      </c>
    </row>
    <row r="84" spans="1:20" s="19" customFormat="1" ht="94.5" customHeight="1" x14ac:dyDescent="0.2">
      <c r="A84" s="40">
        <v>2</v>
      </c>
      <c r="B84" s="71" t="s">
        <v>82</v>
      </c>
      <c r="C84" s="65">
        <f>D84+H84+L84+T84</f>
        <v>1062000</v>
      </c>
      <c r="D84" s="62">
        <f>SUM(E84:G84)</f>
        <v>0</v>
      </c>
      <c r="E84" s="65">
        <v>0</v>
      </c>
      <c r="F84" s="65">
        <v>0</v>
      </c>
      <c r="G84" s="65">
        <v>0</v>
      </c>
      <c r="H84" s="65">
        <f t="shared" ref="H84:H85" si="16">SUM(I84:K84)</f>
        <v>0</v>
      </c>
      <c r="I84" s="64">
        <v>0</v>
      </c>
      <c r="J84" s="64">
        <v>0</v>
      </c>
      <c r="K84" s="64">
        <v>0</v>
      </c>
      <c r="L84" s="60">
        <f>SUM(M84:N84)</f>
        <v>1062000</v>
      </c>
      <c r="M84" s="60">
        <v>1061989.3799999999</v>
      </c>
      <c r="N84" s="60">
        <v>10.62</v>
      </c>
      <c r="O84" s="23">
        <v>0</v>
      </c>
      <c r="P84" s="23">
        <f t="shared" si="15"/>
        <v>0</v>
      </c>
      <c r="Q84" s="23">
        <v>0</v>
      </c>
      <c r="R84" s="23">
        <v>0</v>
      </c>
      <c r="S84" s="23">
        <v>0</v>
      </c>
      <c r="T84" s="60">
        <v>0</v>
      </c>
    </row>
    <row r="85" spans="1:20" s="19" customFormat="1" ht="79.5" customHeight="1" x14ac:dyDescent="0.2">
      <c r="A85" s="40"/>
      <c r="B85" s="30" t="s">
        <v>70</v>
      </c>
      <c r="C85" s="65">
        <f>D85+H85+L85+T85</f>
        <v>15000</v>
      </c>
      <c r="D85" s="62">
        <f>SUM(E85:G85)</f>
        <v>0</v>
      </c>
      <c r="E85" s="65">
        <v>0</v>
      </c>
      <c r="F85" s="65">
        <v>0</v>
      </c>
      <c r="G85" s="65">
        <v>0</v>
      </c>
      <c r="H85" s="65">
        <f t="shared" si="16"/>
        <v>0</v>
      </c>
      <c r="I85" s="64">
        <v>0</v>
      </c>
      <c r="J85" s="64">
        <v>0</v>
      </c>
      <c r="K85" s="64">
        <v>0</v>
      </c>
      <c r="L85" s="60">
        <f>SUM(M85:N85)</f>
        <v>0</v>
      </c>
      <c r="M85" s="60">
        <v>0</v>
      </c>
      <c r="N85" s="60">
        <v>0</v>
      </c>
      <c r="O85" s="23">
        <v>0</v>
      </c>
      <c r="P85" s="23">
        <f t="shared" si="15"/>
        <v>0</v>
      </c>
      <c r="Q85" s="23">
        <v>0</v>
      </c>
      <c r="R85" s="23">
        <v>0</v>
      </c>
      <c r="S85" s="23">
        <v>0</v>
      </c>
      <c r="T85" s="60">
        <v>15000</v>
      </c>
    </row>
    <row r="86" spans="1:20" s="19" customFormat="1" ht="63" customHeight="1" x14ac:dyDescent="0.2">
      <c r="A86" s="66"/>
      <c r="B86" s="34" t="s">
        <v>13</v>
      </c>
      <c r="C86" s="64">
        <f>SUM(C83:C85)</f>
        <v>2293000</v>
      </c>
      <c r="D86" s="64">
        <f t="shared" ref="D86:T86" si="17">SUM(D83:D85)</f>
        <v>0</v>
      </c>
      <c r="E86" s="64">
        <f t="shared" si="17"/>
        <v>0</v>
      </c>
      <c r="F86" s="64">
        <f t="shared" si="17"/>
        <v>0</v>
      </c>
      <c r="G86" s="64">
        <f t="shared" si="17"/>
        <v>0</v>
      </c>
      <c r="H86" s="64">
        <f t="shared" si="17"/>
        <v>0</v>
      </c>
      <c r="I86" s="64">
        <f t="shared" si="17"/>
        <v>0</v>
      </c>
      <c r="J86" s="64">
        <f t="shared" si="17"/>
        <v>0</v>
      </c>
      <c r="K86" s="64">
        <f t="shared" si="17"/>
        <v>0</v>
      </c>
      <c r="L86" s="64">
        <f t="shared" si="17"/>
        <v>2278000</v>
      </c>
      <c r="M86" s="64">
        <f t="shared" si="17"/>
        <v>2277977.2199999997</v>
      </c>
      <c r="N86" s="64">
        <f t="shared" si="17"/>
        <v>22.78</v>
      </c>
      <c r="O86" s="64">
        <f t="shared" si="17"/>
        <v>0</v>
      </c>
      <c r="P86" s="64">
        <f t="shared" si="17"/>
        <v>0</v>
      </c>
      <c r="Q86" s="64">
        <f t="shared" si="17"/>
        <v>0</v>
      </c>
      <c r="R86" s="64">
        <f t="shared" si="17"/>
        <v>0</v>
      </c>
      <c r="S86" s="64">
        <f t="shared" si="17"/>
        <v>0</v>
      </c>
      <c r="T86" s="64">
        <f t="shared" si="17"/>
        <v>15000</v>
      </c>
    </row>
    <row r="87" spans="1:20" s="19" customFormat="1" ht="63" customHeight="1" x14ac:dyDescent="0.2">
      <c r="A87" s="110" t="s">
        <v>14</v>
      </c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</row>
    <row r="88" spans="1:20" s="19" customFormat="1" ht="63" customHeight="1" x14ac:dyDescent="0.2">
      <c r="A88" s="49">
        <v>1</v>
      </c>
      <c r="B88" s="34" t="s">
        <v>100</v>
      </c>
      <c r="C88" s="64">
        <f>D88+H88+L88+T88</f>
        <v>1200000</v>
      </c>
      <c r="D88" s="61">
        <f>SUM(E88:G88)</f>
        <v>0</v>
      </c>
      <c r="E88" s="64">
        <v>0</v>
      </c>
      <c r="F88" s="64">
        <v>0</v>
      </c>
      <c r="G88" s="64">
        <v>0</v>
      </c>
      <c r="H88" s="64">
        <f>SUM(I88:K88)</f>
        <v>0</v>
      </c>
      <c r="I88" s="64">
        <v>0</v>
      </c>
      <c r="J88" s="64">
        <v>0</v>
      </c>
      <c r="K88" s="64">
        <v>0</v>
      </c>
      <c r="L88" s="63">
        <f>SUM(M88:N88)</f>
        <v>1200000</v>
      </c>
      <c r="M88" s="63">
        <v>1199988</v>
      </c>
      <c r="N88" s="63">
        <v>12</v>
      </c>
      <c r="O88" s="23">
        <v>0</v>
      </c>
      <c r="P88" s="23">
        <f>SUM(Q88:S88)</f>
        <v>0</v>
      </c>
      <c r="Q88" s="23">
        <v>0</v>
      </c>
      <c r="R88" s="23">
        <v>0</v>
      </c>
      <c r="S88" s="23">
        <v>0</v>
      </c>
      <c r="T88" s="63">
        <v>0</v>
      </c>
    </row>
    <row r="89" spans="1:20" s="19" customFormat="1" ht="63" customHeight="1" x14ac:dyDescent="0.2">
      <c r="A89" s="49"/>
      <c r="B89" s="34" t="s">
        <v>101</v>
      </c>
      <c r="C89" s="78">
        <f>D89+H89+L89+T89</f>
        <v>70000000</v>
      </c>
      <c r="D89" s="77">
        <f>SUM(E89:G89)</f>
        <v>0</v>
      </c>
      <c r="E89" s="78">
        <v>0</v>
      </c>
      <c r="F89" s="78">
        <v>0</v>
      </c>
      <c r="G89" s="78">
        <v>0</v>
      </c>
      <c r="H89" s="78">
        <f>SUM(I89:K89)</f>
        <v>0</v>
      </c>
      <c r="I89" s="78">
        <v>0</v>
      </c>
      <c r="J89" s="78">
        <v>0</v>
      </c>
      <c r="K89" s="78">
        <v>0</v>
      </c>
      <c r="L89" s="76">
        <f>SUM(M89:N89)</f>
        <v>70000000</v>
      </c>
      <c r="M89" s="76">
        <v>69999300</v>
      </c>
      <c r="N89" s="76">
        <v>700</v>
      </c>
      <c r="O89" s="23">
        <v>0</v>
      </c>
      <c r="P89" s="23">
        <f>SUM(Q89:S89)</f>
        <v>0</v>
      </c>
      <c r="Q89" s="23">
        <v>0</v>
      </c>
      <c r="R89" s="23">
        <v>0</v>
      </c>
      <c r="S89" s="23">
        <v>0</v>
      </c>
      <c r="T89" s="76">
        <v>0</v>
      </c>
    </row>
    <row r="90" spans="1:20" s="19" customFormat="1" ht="63" customHeight="1" x14ac:dyDescent="0.2">
      <c r="A90" s="66"/>
      <c r="B90" s="34" t="s">
        <v>15</v>
      </c>
      <c r="C90" s="64">
        <f>SUM(C88:C89)</f>
        <v>71200000</v>
      </c>
      <c r="D90" s="78">
        <f t="shared" ref="D90:T90" si="18">SUM(D88:D89)</f>
        <v>0</v>
      </c>
      <c r="E90" s="78">
        <f t="shared" si="18"/>
        <v>0</v>
      </c>
      <c r="F90" s="78">
        <f t="shared" si="18"/>
        <v>0</v>
      </c>
      <c r="G90" s="78">
        <f t="shared" si="18"/>
        <v>0</v>
      </c>
      <c r="H90" s="78">
        <f t="shared" si="18"/>
        <v>0</v>
      </c>
      <c r="I90" s="78">
        <f t="shared" si="18"/>
        <v>0</v>
      </c>
      <c r="J90" s="78">
        <f t="shared" si="18"/>
        <v>0</v>
      </c>
      <c r="K90" s="78">
        <f t="shared" si="18"/>
        <v>0</v>
      </c>
      <c r="L90" s="78">
        <f t="shared" si="18"/>
        <v>71200000</v>
      </c>
      <c r="M90" s="78">
        <f t="shared" si="18"/>
        <v>71199288</v>
      </c>
      <c r="N90" s="78">
        <f t="shared" si="18"/>
        <v>712</v>
      </c>
      <c r="O90" s="78">
        <f t="shared" si="18"/>
        <v>0</v>
      </c>
      <c r="P90" s="78">
        <f t="shared" si="18"/>
        <v>0</v>
      </c>
      <c r="Q90" s="78">
        <f t="shared" si="18"/>
        <v>0</v>
      </c>
      <c r="R90" s="78">
        <f t="shared" si="18"/>
        <v>0</v>
      </c>
      <c r="S90" s="78">
        <f t="shared" si="18"/>
        <v>0</v>
      </c>
      <c r="T90" s="78">
        <f t="shared" si="18"/>
        <v>0</v>
      </c>
    </row>
    <row r="91" spans="1:20" s="8" customFormat="1" ht="63" customHeight="1" x14ac:dyDescent="0.2">
      <c r="A91" s="107" t="s">
        <v>16</v>
      </c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</row>
    <row r="92" spans="1:20" s="19" customFormat="1" ht="76.5" customHeight="1" x14ac:dyDescent="0.2">
      <c r="A92" s="49">
        <v>1</v>
      </c>
      <c r="B92" s="34" t="s">
        <v>83</v>
      </c>
      <c r="C92" s="64">
        <f>D92+H92+L92+T92</f>
        <v>1489125</v>
      </c>
      <c r="D92" s="64">
        <f>SUM(E92:G92)</f>
        <v>0</v>
      </c>
      <c r="E92" s="64">
        <v>0</v>
      </c>
      <c r="F92" s="64">
        <v>0</v>
      </c>
      <c r="G92" s="64">
        <v>0</v>
      </c>
      <c r="H92" s="64">
        <f>SUM(I92:K92)</f>
        <v>0</v>
      </c>
      <c r="I92" s="64">
        <v>0</v>
      </c>
      <c r="J92" s="64">
        <v>0</v>
      </c>
      <c r="K92" s="64">
        <v>0</v>
      </c>
      <c r="L92" s="64">
        <f>SUM(M92:N92)</f>
        <v>1489125</v>
      </c>
      <c r="M92" s="64">
        <f>1499985-10874.89</f>
        <v>1489110.11</v>
      </c>
      <c r="N92" s="64">
        <f>15-0.11</f>
        <v>14.89</v>
      </c>
      <c r="O92" s="23">
        <v>0</v>
      </c>
      <c r="P92" s="23">
        <f t="shared" ref="P92:P96" si="19">SUM(Q92:S92)</f>
        <v>0</v>
      </c>
      <c r="Q92" s="23">
        <v>0</v>
      </c>
      <c r="R92" s="23">
        <v>0</v>
      </c>
      <c r="S92" s="23">
        <v>0</v>
      </c>
      <c r="T92" s="64">
        <v>0</v>
      </c>
    </row>
    <row r="93" spans="1:20" s="19" customFormat="1" ht="94.5" customHeight="1" x14ac:dyDescent="0.2">
      <c r="A93" s="49">
        <v>2</v>
      </c>
      <c r="B93" s="34" t="s">
        <v>94</v>
      </c>
      <c r="C93" s="64">
        <f>D93+H93+L93+T93</f>
        <v>600000</v>
      </c>
      <c r="D93" s="64">
        <f t="shared" ref="D93:D94" si="20">SUM(E93:G93)</f>
        <v>0</v>
      </c>
      <c r="E93" s="64">
        <v>0</v>
      </c>
      <c r="F93" s="64">
        <v>0</v>
      </c>
      <c r="G93" s="64">
        <v>0</v>
      </c>
      <c r="H93" s="64">
        <f t="shared" ref="H93:H94" si="21">SUM(I93:K93)</f>
        <v>0</v>
      </c>
      <c r="I93" s="64">
        <v>0</v>
      </c>
      <c r="J93" s="64">
        <v>0</v>
      </c>
      <c r="K93" s="64">
        <v>0</v>
      </c>
      <c r="L93" s="64">
        <f>SUM(M93:N93)</f>
        <v>0</v>
      </c>
      <c r="M93" s="64">
        <v>0</v>
      </c>
      <c r="N93" s="64">
        <v>0</v>
      </c>
      <c r="O93" s="23">
        <v>0</v>
      </c>
      <c r="P93" s="23">
        <f t="shared" si="19"/>
        <v>0</v>
      </c>
      <c r="Q93" s="23">
        <v>0</v>
      </c>
      <c r="R93" s="23">
        <v>0</v>
      </c>
      <c r="S93" s="23">
        <v>0</v>
      </c>
      <c r="T93" s="64">
        <v>600000</v>
      </c>
    </row>
    <row r="94" spans="1:20" s="19" customFormat="1" ht="63" customHeight="1" x14ac:dyDescent="0.2">
      <c r="A94" s="49">
        <v>3</v>
      </c>
      <c r="B94" s="34" t="s">
        <v>95</v>
      </c>
      <c r="C94" s="64">
        <f>D94+H94+L94+T94</f>
        <v>594000</v>
      </c>
      <c r="D94" s="64">
        <f t="shared" si="20"/>
        <v>0</v>
      </c>
      <c r="E94" s="64">
        <v>0</v>
      </c>
      <c r="F94" s="64">
        <v>0</v>
      </c>
      <c r="G94" s="64">
        <v>0</v>
      </c>
      <c r="H94" s="64">
        <f t="shared" si="21"/>
        <v>0</v>
      </c>
      <c r="I94" s="64">
        <v>0</v>
      </c>
      <c r="J94" s="64">
        <v>0</v>
      </c>
      <c r="K94" s="64">
        <v>0</v>
      </c>
      <c r="L94" s="64">
        <f t="shared" ref="L94" si="22">SUM(M94:N94)</f>
        <v>0</v>
      </c>
      <c r="M94" s="64">
        <v>0</v>
      </c>
      <c r="N94" s="64">
        <v>0</v>
      </c>
      <c r="O94" s="23">
        <v>0</v>
      </c>
      <c r="P94" s="23">
        <f t="shared" si="19"/>
        <v>0</v>
      </c>
      <c r="Q94" s="23">
        <v>0</v>
      </c>
      <c r="R94" s="23">
        <v>0</v>
      </c>
      <c r="S94" s="23">
        <v>0</v>
      </c>
      <c r="T94" s="64">
        <v>594000</v>
      </c>
    </row>
    <row r="95" spans="1:20" s="19" customFormat="1" ht="63" customHeight="1" x14ac:dyDescent="0.2">
      <c r="A95" s="49">
        <v>4</v>
      </c>
      <c r="B95" s="34" t="s">
        <v>103</v>
      </c>
      <c r="C95" s="80">
        <f>D95+H95+L95+T95</f>
        <v>212000</v>
      </c>
      <c r="D95" s="80">
        <f t="shared" ref="D95" si="23">SUM(E95:G95)</f>
        <v>0</v>
      </c>
      <c r="E95" s="80">
        <v>0</v>
      </c>
      <c r="F95" s="80">
        <v>0</v>
      </c>
      <c r="G95" s="80">
        <v>0</v>
      </c>
      <c r="H95" s="80">
        <f t="shared" ref="H95" si="24">SUM(I95:K95)</f>
        <v>0</v>
      </c>
      <c r="I95" s="80">
        <v>0</v>
      </c>
      <c r="J95" s="80">
        <v>0</v>
      </c>
      <c r="K95" s="80">
        <v>0</v>
      </c>
      <c r="L95" s="80">
        <f t="shared" ref="L95" si="25">SUM(M95:N95)</f>
        <v>0</v>
      </c>
      <c r="M95" s="80">
        <v>0</v>
      </c>
      <c r="N95" s="80">
        <v>0</v>
      </c>
      <c r="O95" s="23">
        <v>0</v>
      </c>
      <c r="P95" s="23">
        <f t="shared" ref="P95" si="26">SUM(Q95:S95)</f>
        <v>0</v>
      </c>
      <c r="Q95" s="23">
        <v>0</v>
      </c>
      <c r="R95" s="23">
        <v>0</v>
      </c>
      <c r="S95" s="23">
        <v>0</v>
      </c>
      <c r="T95" s="80">
        <v>212000</v>
      </c>
    </row>
    <row r="96" spans="1:20" s="19" customFormat="1" ht="75" customHeight="1" x14ac:dyDescent="0.2">
      <c r="A96" s="49"/>
      <c r="B96" s="30" t="s">
        <v>70</v>
      </c>
      <c r="C96" s="64">
        <f>D96+H96+L96+T96</f>
        <v>6000</v>
      </c>
      <c r="D96" s="64">
        <f t="shared" ref="D96" si="27">SUM(E96:G96)</f>
        <v>0</v>
      </c>
      <c r="E96" s="64">
        <v>0</v>
      </c>
      <c r="F96" s="64">
        <v>0</v>
      </c>
      <c r="G96" s="64">
        <v>0</v>
      </c>
      <c r="H96" s="64">
        <f t="shared" ref="H96" si="28">SUM(I96:K96)</f>
        <v>0</v>
      </c>
      <c r="I96" s="64">
        <v>0</v>
      </c>
      <c r="J96" s="64">
        <v>0</v>
      </c>
      <c r="K96" s="64">
        <v>0</v>
      </c>
      <c r="L96" s="64">
        <f t="shared" ref="L96" si="29">SUM(M96:N96)</f>
        <v>0</v>
      </c>
      <c r="M96" s="64">
        <v>0</v>
      </c>
      <c r="N96" s="64">
        <v>0</v>
      </c>
      <c r="O96" s="23">
        <v>0</v>
      </c>
      <c r="P96" s="23">
        <f t="shared" si="19"/>
        <v>0</v>
      </c>
      <c r="Q96" s="23">
        <v>0</v>
      </c>
      <c r="R96" s="23">
        <v>0</v>
      </c>
      <c r="S96" s="23">
        <v>0</v>
      </c>
      <c r="T96" s="64">
        <v>6000</v>
      </c>
    </row>
    <row r="97" spans="1:25" s="19" customFormat="1" ht="63" customHeight="1" x14ac:dyDescent="0.2">
      <c r="A97" s="66"/>
      <c r="B97" s="34" t="s">
        <v>27</v>
      </c>
      <c r="C97" s="64">
        <f>SUM(C92:C96)</f>
        <v>2901125</v>
      </c>
      <c r="D97" s="64">
        <f t="shared" ref="D97:T97" si="30">SUM(D92:D96)</f>
        <v>0</v>
      </c>
      <c r="E97" s="64">
        <f t="shared" si="30"/>
        <v>0</v>
      </c>
      <c r="F97" s="64">
        <f t="shared" si="30"/>
        <v>0</v>
      </c>
      <c r="G97" s="64">
        <f t="shared" si="30"/>
        <v>0</v>
      </c>
      <c r="H97" s="64">
        <f t="shared" si="30"/>
        <v>0</v>
      </c>
      <c r="I97" s="64">
        <f t="shared" si="30"/>
        <v>0</v>
      </c>
      <c r="J97" s="64">
        <f t="shared" si="30"/>
        <v>0</v>
      </c>
      <c r="K97" s="64">
        <f t="shared" si="30"/>
        <v>0</v>
      </c>
      <c r="L97" s="64">
        <f t="shared" si="30"/>
        <v>1489125</v>
      </c>
      <c r="M97" s="64">
        <f t="shared" si="30"/>
        <v>1489110.11</v>
      </c>
      <c r="N97" s="64">
        <f t="shared" si="30"/>
        <v>14.89</v>
      </c>
      <c r="O97" s="64">
        <f t="shared" si="30"/>
        <v>0</v>
      </c>
      <c r="P97" s="64">
        <f t="shared" si="30"/>
        <v>0</v>
      </c>
      <c r="Q97" s="64">
        <f t="shared" si="30"/>
        <v>0</v>
      </c>
      <c r="R97" s="64">
        <f t="shared" si="30"/>
        <v>0</v>
      </c>
      <c r="S97" s="64">
        <f t="shared" si="30"/>
        <v>0</v>
      </c>
      <c r="T97" s="64">
        <f t="shared" si="30"/>
        <v>1412000</v>
      </c>
    </row>
    <row r="98" spans="1:25" s="19" customFormat="1" ht="63" customHeight="1" x14ac:dyDescent="0.2">
      <c r="A98" s="104" t="s">
        <v>61</v>
      </c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</row>
    <row r="99" spans="1:25" s="19" customFormat="1" ht="101.25" customHeight="1" x14ac:dyDescent="0.2">
      <c r="A99" s="40">
        <v>1</v>
      </c>
      <c r="B99" s="35" t="s">
        <v>84</v>
      </c>
      <c r="C99" s="65">
        <f>D99+H99+L99+T99</f>
        <v>5008838.8100000005</v>
      </c>
      <c r="D99" s="62">
        <f>SUM(E99:G99)</f>
        <v>0</v>
      </c>
      <c r="E99" s="61">
        <v>0</v>
      </c>
      <c r="F99" s="61">
        <v>0</v>
      </c>
      <c r="G99" s="62">
        <v>0</v>
      </c>
      <c r="H99" s="62">
        <f>SUM(I99:K99)</f>
        <v>0</v>
      </c>
      <c r="I99" s="64">
        <v>0</v>
      </c>
      <c r="J99" s="64">
        <v>0</v>
      </c>
      <c r="K99" s="64">
        <v>0</v>
      </c>
      <c r="L99" s="60">
        <f>SUM(M99:N99)</f>
        <v>5008838.8100000005</v>
      </c>
      <c r="M99" s="23">
        <f>5009949.9-1161.18</f>
        <v>5008788.7200000007</v>
      </c>
      <c r="N99" s="23">
        <f>50.1-0.01</f>
        <v>50.09</v>
      </c>
      <c r="O99" s="55">
        <v>0</v>
      </c>
      <c r="P99" s="23">
        <f t="shared" ref="P99:P103" si="31">SUM(Q99:S99)</f>
        <v>0</v>
      </c>
      <c r="Q99" s="23">
        <v>0</v>
      </c>
      <c r="R99" s="23">
        <v>0</v>
      </c>
      <c r="S99" s="23">
        <v>0</v>
      </c>
      <c r="T99" s="60">
        <v>0</v>
      </c>
    </row>
    <row r="100" spans="1:25" s="19" customFormat="1" ht="63" customHeight="1" x14ac:dyDescent="0.2">
      <c r="A100" s="44">
        <v>2</v>
      </c>
      <c r="B100" s="30" t="s">
        <v>85</v>
      </c>
      <c r="C100" s="65">
        <f>D100+H100+L100+T100</f>
        <v>1447625.83</v>
      </c>
      <c r="D100" s="61">
        <f t="shared" ref="D100:D102" si="32">SUM(E100:G100)</f>
        <v>0</v>
      </c>
      <c r="E100" s="61">
        <v>0</v>
      </c>
      <c r="F100" s="61">
        <v>0</v>
      </c>
      <c r="G100" s="61">
        <v>0</v>
      </c>
      <c r="H100" s="62">
        <f t="shared" ref="H100:H103" si="33">SUM(I100:K100)</f>
        <v>0</v>
      </c>
      <c r="I100" s="64">
        <v>0</v>
      </c>
      <c r="J100" s="64">
        <v>0</v>
      </c>
      <c r="K100" s="64">
        <v>0</v>
      </c>
      <c r="L100" s="60">
        <f t="shared" ref="L100:L103" si="34">SUM(M100:N100)</f>
        <v>1447625.83</v>
      </c>
      <c r="M100" s="23">
        <v>1447611.35</v>
      </c>
      <c r="N100" s="23">
        <v>14.48</v>
      </c>
      <c r="O100" s="23">
        <v>0</v>
      </c>
      <c r="P100" s="23">
        <f t="shared" si="31"/>
        <v>0</v>
      </c>
      <c r="Q100" s="23">
        <v>0</v>
      </c>
      <c r="R100" s="23">
        <v>0</v>
      </c>
      <c r="S100" s="23">
        <v>0</v>
      </c>
      <c r="T100" s="63">
        <v>0</v>
      </c>
    </row>
    <row r="101" spans="1:25" s="19" customFormat="1" ht="63" customHeight="1" x14ac:dyDescent="0.2">
      <c r="A101" s="44">
        <v>3</v>
      </c>
      <c r="B101" s="30" t="s">
        <v>90</v>
      </c>
      <c r="C101" s="65">
        <f>D101+H101+L101+T101</f>
        <v>16418000</v>
      </c>
      <c r="D101" s="61">
        <f t="shared" si="32"/>
        <v>0</v>
      </c>
      <c r="E101" s="61">
        <v>0</v>
      </c>
      <c r="F101" s="61">
        <v>0</v>
      </c>
      <c r="G101" s="61">
        <v>0</v>
      </c>
      <c r="H101" s="62">
        <f t="shared" si="33"/>
        <v>0</v>
      </c>
      <c r="I101" s="64">
        <v>0</v>
      </c>
      <c r="J101" s="64">
        <v>0</v>
      </c>
      <c r="K101" s="64">
        <v>0</v>
      </c>
      <c r="L101" s="60">
        <f t="shared" si="34"/>
        <v>16418000</v>
      </c>
      <c r="M101" s="23">
        <v>16417835.82</v>
      </c>
      <c r="N101" s="23">
        <v>164.18</v>
      </c>
      <c r="O101" s="23">
        <v>0</v>
      </c>
      <c r="P101" s="23">
        <f t="shared" si="31"/>
        <v>0</v>
      </c>
      <c r="Q101" s="23">
        <v>0</v>
      </c>
      <c r="R101" s="23">
        <v>0</v>
      </c>
      <c r="S101" s="23">
        <v>0</v>
      </c>
      <c r="T101" s="63">
        <v>0</v>
      </c>
    </row>
    <row r="102" spans="1:25" s="19" customFormat="1" ht="102.75" customHeight="1" x14ac:dyDescent="0.2">
      <c r="A102" s="44">
        <v>4</v>
      </c>
      <c r="B102" s="30" t="s">
        <v>86</v>
      </c>
      <c r="C102" s="65">
        <f>D102+H102+L102+T102</f>
        <v>42503535.359999999</v>
      </c>
      <c r="D102" s="61">
        <f t="shared" si="32"/>
        <v>0</v>
      </c>
      <c r="E102" s="61">
        <v>0</v>
      </c>
      <c r="F102" s="61">
        <v>0</v>
      </c>
      <c r="G102" s="61">
        <v>0</v>
      </c>
      <c r="H102" s="62">
        <f t="shared" si="33"/>
        <v>0</v>
      </c>
      <c r="I102" s="64">
        <v>0</v>
      </c>
      <c r="J102" s="64">
        <v>0</v>
      </c>
      <c r="K102" s="64">
        <v>0</v>
      </c>
      <c r="L102" s="60">
        <f t="shared" si="34"/>
        <v>42503535.359999999</v>
      </c>
      <c r="M102" s="23">
        <f>47001904.15-4498793.82</f>
        <v>42503110.329999998</v>
      </c>
      <c r="N102" s="23">
        <f>470.02-44.99</f>
        <v>425.03</v>
      </c>
      <c r="O102" s="23">
        <v>0</v>
      </c>
      <c r="P102" s="23">
        <f t="shared" si="31"/>
        <v>0</v>
      </c>
      <c r="Q102" s="23">
        <v>0</v>
      </c>
      <c r="R102" s="23">
        <v>0</v>
      </c>
      <c r="S102" s="23">
        <v>0</v>
      </c>
      <c r="T102" s="63">
        <v>0</v>
      </c>
    </row>
    <row r="103" spans="1:25" s="19" customFormat="1" ht="93.75" customHeight="1" x14ac:dyDescent="0.2">
      <c r="A103" s="44">
        <v>5</v>
      </c>
      <c r="B103" s="30" t="s">
        <v>66</v>
      </c>
      <c r="C103" s="65">
        <f>D103+H103+L103+T103</f>
        <v>772409.94</v>
      </c>
      <c r="D103" s="61">
        <f t="shared" ref="D103" si="35">SUM(E103:G103)</f>
        <v>0</v>
      </c>
      <c r="E103" s="61">
        <v>0</v>
      </c>
      <c r="F103" s="61">
        <v>0</v>
      </c>
      <c r="G103" s="61">
        <v>0</v>
      </c>
      <c r="H103" s="62">
        <f t="shared" si="33"/>
        <v>0</v>
      </c>
      <c r="I103" s="64">
        <v>0</v>
      </c>
      <c r="J103" s="64">
        <v>0</v>
      </c>
      <c r="K103" s="64">
        <v>0</v>
      </c>
      <c r="L103" s="60">
        <f t="shared" si="34"/>
        <v>772409.94</v>
      </c>
      <c r="M103" s="23">
        <v>772402.21</v>
      </c>
      <c r="N103" s="23">
        <v>7.73</v>
      </c>
      <c r="O103" s="23">
        <v>0</v>
      </c>
      <c r="P103" s="23">
        <f t="shared" si="31"/>
        <v>0</v>
      </c>
      <c r="Q103" s="23">
        <v>0</v>
      </c>
      <c r="R103" s="23">
        <v>0</v>
      </c>
      <c r="S103" s="23">
        <v>0</v>
      </c>
      <c r="T103" s="63">
        <v>0</v>
      </c>
    </row>
    <row r="104" spans="1:25" s="19" customFormat="1" ht="63" customHeight="1" x14ac:dyDescent="0.2">
      <c r="A104" s="68"/>
      <c r="B104" s="34" t="s">
        <v>62</v>
      </c>
      <c r="C104" s="61">
        <f>SUM(C99:C103)</f>
        <v>66150409.939999998</v>
      </c>
      <c r="D104" s="61">
        <f t="shared" ref="D104:S104" si="36">SUM(D99:D103)</f>
        <v>0</v>
      </c>
      <c r="E104" s="61">
        <f t="shared" si="36"/>
        <v>0</v>
      </c>
      <c r="F104" s="61">
        <f t="shared" si="36"/>
        <v>0</v>
      </c>
      <c r="G104" s="61">
        <f t="shared" si="36"/>
        <v>0</v>
      </c>
      <c r="H104" s="61">
        <f t="shared" si="36"/>
        <v>0</v>
      </c>
      <c r="I104" s="61">
        <f t="shared" si="36"/>
        <v>0</v>
      </c>
      <c r="J104" s="61">
        <f t="shared" si="36"/>
        <v>0</v>
      </c>
      <c r="K104" s="61">
        <f t="shared" si="36"/>
        <v>0</v>
      </c>
      <c r="L104" s="61">
        <f t="shared" si="36"/>
        <v>66150409.939999998</v>
      </c>
      <c r="M104" s="61">
        <f t="shared" si="36"/>
        <v>66149748.43</v>
      </c>
      <c r="N104" s="61">
        <f t="shared" si="36"/>
        <v>661.51</v>
      </c>
      <c r="O104" s="61">
        <f t="shared" si="36"/>
        <v>0</v>
      </c>
      <c r="P104" s="61">
        <f t="shared" si="36"/>
        <v>0</v>
      </c>
      <c r="Q104" s="61">
        <f t="shared" si="36"/>
        <v>0</v>
      </c>
      <c r="R104" s="61">
        <f t="shared" si="36"/>
        <v>0</v>
      </c>
      <c r="S104" s="61">
        <f t="shared" si="36"/>
        <v>0</v>
      </c>
      <c r="T104" s="61">
        <f t="shared" ref="T104" si="37">SUM(T99:T103)</f>
        <v>0</v>
      </c>
    </row>
    <row r="105" spans="1:25" s="19" customFormat="1" ht="63" customHeight="1" x14ac:dyDescent="0.2">
      <c r="A105" s="104" t="s">
        <v>71</v>
      </c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</row>
    <row r="106" spans="1:25" s="19" customFormat="1" ht="123.75" customHeight="1" x14ac:dyDescent="0.2">
      <c r="A106" s="44">
        <v>1</v>
      </c>
      <c r="B106" s="42" t="s">
        <v>96</v>
      </c>
      <c r="C106" s="65">
        <f>D106+H106+L106+T106</f>
        <v>6298878</v>
      </c>
      <c r="D106" s="61">
        <f t="shared" ref="D106" si="38">SUM(E106:G106)</f>
        <v>0</v>
      </c>
      <c r="E106" s="61">
        <v>0</v>
      </c>
      <c r="F106" s="61">
        <v>0</v>
      </c>
      <c r="G106" s="61">
        <v>0</v>
      </c>
      <c r="H106" s="62">
        <f>SUM(I106:K106)</f>
        <v>0</v>
      </c>
      <c r="I106" s="64">
        <v>0</v>
      </c>
      <c r="J106" s="64">
        <v>0</v>
      </c>
      <c r="K106" s="64">
        <v>0</v>
      </c>
      <c r="L106" s="60">
        <f t="shared" ref="L106" si="39">SUM(M106:N106)</f>
        <v>6298878</v>
      </c>
      <c r="M106" s="23">
        <v>6298815.0099999998</v>
      </c>
      <c r="N106" s="23">
        <v>62.99</v>
      </c>
      <c r="O106" s="23">
        <v>0</v>
      </c>
      <c r="P106" s="23">
        <f>SUM(Q106:S106)</f>
        <v>0</v>
      </c>
      <c r="Q106" s="23">
        <v>0</v>
      </c>
      <c r="R106" s="23">
        <v>0</v>
      </c>
      <c r="S106" s="23">
        <v>0</v>
      </c>
      <c r="T106" s="63">
        <v>0</v>
      </c>
    </row>
    <row r="107" spans="1:25" s="19" customFormat="1" ht="123.75" customHeight="1" x14ac:dyDescent="0.2">
      <c r="A107" s="44">
        <v>2</v>
      </c>
      <c r="B107" s="42" t="s">
        <v>98</v>
      </c>
      <c r="C107" s="65">
        <f>D107+H107+L107+T107</f>
        <v>1698000.0000000002</v>
      </c>
      <c r="D107" s="61">
        <f t="shared" ref="D107" si="40">SUM(E107:G107)</f>
        <v>0</v>
      </c>
      <c r="E107" s="61">
        <v>0</v>
      </c>
      <c r="F107" s="61">
        <v>0</v>
      </c>
      <c r="G107" s="61">
        <v>0</v>
      </c>
      <c r="H107" s="62">
        <f>SUM(I107:K107)</f>
        <v>0</v>
      </c>
      <c r="I107" s="64">
        <v>0</v>
      </c>
      <c r="J107" s="64">
        <v>0</v>
      </c>
      <c r="K107" s="64">
        <v>0</v>
      </c>
      <c r="L107" s="60">
        <f t="shared" ref="L107" si="41">SUM(M107:N107)</f>
        <v>1698000.0000000002</v>
      </c>
      <c r="M107" s="23">
        <f>3079969.2-986990.13-394996.05</f>
        <v>1697983.0200000003</v>
      </c>
      <c r="N107" s="23">
        <f>30.8-9.87-3.95</f>
        <v>16.98</v>
      </c>
      <c r="O107" s="23">
        <v>0</v>
      </c>
      <c r="P107" s="23">
        <f>SUM(Q107:S107)</f>
        <v>0</v>
      </c>
      <c r="Q107" s="23">
        <v>0</v>
      </c>
      <c r="R107" s="23">
        <v>0</v>
      </c>
      <c r="S107" s="23">
        <v>0</v>
      </c>
      <c r="T107" s="63">
        <v>0</v>
      </c>
    </row>
    <row r="108" spans="1:25" s="19" customFormat="1" ht="123.75" customHeight="1" x14ac:dyDescent="0.2">
      <c r="A108" s="44">
        <v>3</v>
      </c>
      <c r="B108" s="42" t="s">
        <v>104</v>
      </c>
      <c r="C108" s="87">
        <f t="shared" ref="C108:C109" si="42">D108+H108+L108+T108</f>
        <v>395000</v>
      </c>
      <c r="D108" s="84">
        <f t="shared" ref="D108:D109" si="43">SUM(E108:G108)</f>
        <v>0</v>
      </c>
      <c r="E108" s="84">
        <v>0</v>
      </c>
      <c r="F108" s="84">
        <v>0</v>
      </c>
      <c r="G108" s="84">
        <v>0</v>
      </c>
      <c r="H108" s="82">
        <f t="shared" ref="H108:H109" si="44">SUM(I108:K108)</f>
        <v>0</v>
      </c>
      <c r="I108" s="86">
        <v>0</v>
      </c>
      <c r="J108" s="86">
        <v>0</v>
      </c>
      <c r="K108" s="86">
        <v>0</v>
      </c>
      <c r="L108" s="85">
        <f t="shared" ref="L108:L109" si="45">SUM(M108:N108)</f>
        <v>395000</v>
      </c>
      <c r="M108" s="23">
        <v>394996.05</v>
      </c>
      <c r="N108" s="23">
        <v>3.95</v>
      </c>
      <c r="O108" s="23">
        <v>0</v>
      </c>
      <c r="P108" s="23">
        <f t="shared" ref="P108:P109" si="46">SUM(Q108:S108)</f>
        <v>0</v>
      </c>
      <c r="Q108" s="23">
        <v>0</v>
      </c>
      <c r="R108" s="23">
        <v>0</v>
      </c>
      <c r="S108" s="23">
        <v>0</v>
      </c>
      <c r="T108" s="83">
        <v>0</v>
      </c>
    </row>
    <row r="109" spans="1:25" s="19" customFormat="1" ht="123.75" customHeight="1" x14ac:dyDescent="0.2">
      <c r="A109" s="44">
        <v>4</v>
      </c>
      <c r="B109" s="30" t="s">
        <v>105</v>
      </c>
      <c r="C109" s="87">
        <f t="shared" si="42"/>
        <v>987000</v>
      </c>
      <c r="D109" s="84">
        <f t="shared" si="43"/>
        <v>0</v>
      </c>
      <c r="E109" s="84">
        <v>0</v>
      </c>
      <c r="F109" s="84">
        <v>0</v>
      </c>
      <c r="G109" s="84">
        <v>0</v>
      </c>
      <c r="H109" s="82">
        <f t="shared" si="44"/>
        <v>0</v>
      </c>
      <c r="I109" s="86">
        <v>0</v>
      </c>
      <c r="J109" s="86">
        <v>0</v>
      </c>
      <c r="K109" s="86">
        <v>0</v>
      </c>
      <c r="L109" s="85">
        <f t="shared" si="45"/>
        <v>987000</v>
      </c>
      <c r="M109" s="23">
        <v>986990.13</v>
      </c>
      <c r="N109" s="23">
        <v>9.8699999999999992</v>
      </c>
      <c r="O109" s="23">
        <v>0</v>
      </c>
      <c r="P109" s="23">
        <f t="shared" si="46"/>
        <v>0</v>
      </c>
      <c r="Q109" s="23">
        <v>0</v>
      </c>
      <c r="R109" s="23">
        <v>0</v>
      </c>
      <c r="S109" s="23">
        <v>0</v>
      </c>
      <c r="T109" s="83">
        <v>0</v>
      </c>
    </row>
    <row r="110" spans="1:25" s="19" customFormat="1" ht="63" customHeight="1" x14ac:dyDescent="0.2">
      <c r="A110" s="68"/>
      <c r="B110" s="34" t="s">
        <v>72</v>
      </c>
      <c r="C110" s="61">
        <f>SUM(C106:C109)</f>
        <v>9378878</v>
      </c>
      <c r="D110" s="84">
        <f t="shared" ref="D110:T110" si="47">SUM(D106:D109)</f>
        <v>0</v>
      </c>
      <c r="E110" s="84">
        <f t="shared" si="47"/>
        <v>0</v>
      </c>
      <c r="F110" s="84">
        <f t="shared" si="47"/>
        <v>0</v>
      </c>
      <c r="G110" s="84">
        <f t="shared" si="47"/>
        <v>0</v>
      </c>
      <c r="H110" s="84">
        <f t="shared" si="47"/>
        <v>0</v>
      </c>
      <c r="I110" s="84">
        <f t="shared" si="47"/>
        <v>0</v>
      </c>
      <c r="J110" s="84">
        <f t="shared" si="47"/>
        <v>0</v>
      </c>
      <c r="K110" s="84">
        <f t="shared" si="47"/>
        <v>0</v>
      </c>
      <c r="L110" s="84">
        <f t="shared" si="47"/>
        <v>9378878</v>
      </c>
      <c r="M110" s="84">
        <f t="shared" si="47"/>
        <v>9378784.2100000009</v>
      </c>
      <c r="N110" s="84">
        <f t="shared" si="47"/>
        <v>93.79</v>
      </c>
      <c r="O110" s="84">
        <f t="shared" si="47"/>
        <v>0</v>
      </c>
      <c r="P110" s="84">
        <f t="shared" si="47"/>
        <v>0</v>
      </c>
      <c r="Q110" s="84">
        <f t="shared" si="47"/>
        <v>0</v>
      </c>
      <c r="R110" s="84">
        <f t="shared" si="47"/>
        <v>0</v>
      </c>
      <c r="S110" s="84">
        <f t="shared" si="47"/>
        <v>0</v>
      </c>
      <c r="T110" s="84">
        <f t="shared" si="47"/>
        <v>0</v>
      </c>
    </row>
    <row r="111" spans="1:25" s="19" customFormat="1" ht="63" customHeight="1" x14ac:dyDescent="0.2">
      <c r="A111" s="110" t="s">
        <v>19</v>
      </c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24"/>
      <c r="V111" s="24"/>
    </row>
    <row r="112" spans="1:25" s="19" customFormat="1" ht="77.25" customHeight="1" x14ac:dyDescent="0.3">
      <c r="A112" s="40">
        <v>1</v>
      </c>
      <c r="B112" s="41" t="s">
        <v>88</v>
      </c>
      <c r="C112" s="65">
        <f>D112+H112+L112+P112+T112</f>
        <v>562501086.55999994</v>
      </c>
      <c r="D112" s="62">
        <f>E112+F112</f>
        <v>106863207.52</v>
      </c>
      <c r="E112" s="23">
        <f>106862097.38+23.68+17.82</f>
        <v>106862138.88</v>
      </c>
      <c r="F112" s="23">
        <v>1068.6400000000001</v>
      </c>
      <c r="G112" s="62">
        <v>0</v>
      </c>
      <c r="H112" s="62">
        <v>0</v>
      </c>
      <c r="I112" s="64">
        <v>0</v>
      </c>
      <c r="J112" s="64">
        <v>0</v>
      </c>
      <c r="K112" s="64">
        <v>0</v>
      </c>
      <c r="L112" s="60">
        <f>M112+N112</f>
        <v>455482216.0399999</v>
      </c>
      <c r="M112" s="60">
        <v>455477661.19999993</v>
      </c>
      <c r="N112" s="60">
        <v>4554.84</v>
      </c>
      <c r="O112" s="23">
        <v>0</v>
      </c>
      <c r="P112" s="23">
        <v>0</v>
      </c>
      <c r="Q112" s="23">
        <v>0</v>
      </c>
      <c r="R112" s="23">
        <v>0</v>
      </c>
      <c r="S112" s="23">
        <v>0</v>
      </c>
      <c r="T112" s="60">
        <v>155663</v>
      </c>
      <c r="U112" s="24"/>
      <c r="V112" s="24"/>
      <c r="W112" s="72"/>
      <c r="X112" s="19" t="s">
        <v>97</v>
      </c>
      <c r="Y112" s="73"/>
    </row>
    <row r="113" spans="1:23" s="19" customFormat="1" ht="136.5" customHeight="1" x14ac:dyDescent="0.2">
      <c r="A113" s="44">
        <v>2</v>
      </c>
      <c r="B113" s="34" t="s">
        <v>93</v>
      </c>
      <c r="C113" s="65">
        <f t="shared" ref="C113:C115" si="48">D113+H113+L113+P113+T113</f>
        <v>5100000.05</v>
      </c>
      <c r="D113" s="62">
        <f t="shared" ref="D113:D116" si="49">E113+F113</f>
        <v>0</v>
      </c>
      <c r="E113" s="23">
        <v>0</v>
      </c>
      <c r="F113" s="23">
        <v>0</v>
      </c>
      <c r="G113" s="61">
        <v>0</v>
      </c>
      <c r="H113" s="62">
        <v>0</v>
      </c>
      <c r="I113" s="64">
        <v>0</v>
      </c>
      <c r="J113" s="64">
        <v>0</v>
      </c>
      <c r="K113" s="64">
        <v>0</v>
      </c>
      <c r="L113" s="60">
        <f t="shared" ref="L113:L116" si="50">M113+N113</f>
        <v>5100000.05</v>
      </c>
      <c r="M113" s="63">
        <v>5099949</v>
      </c>
      <c r="N113" s="63">
        <v>51.05</v>
      </c>
      <c r="O113" s="23">
        <v>0</v>
      </c>
      <c r="P113" s="23">
        <v>0</v>
      </c>
      <c r="Q113" s="23">
        <v>0</v>
      </c>
      <c r="R113" s="23">
        <v>0</v>
      </c>
      <c r="S113" s="23">
        <v>0</v>
      </c>
      <c r="T113" s="63">
        <v>0</v>
      </c>
    </row>
    <row r="114" spans="1:23" s="19" customFormat="1" ht="114.75" customHeight="1" x14ac:dyDescent="0.2">
      <c r="A114" s="44">
        <v>3</v>
      </c>
      <c r="B114" s="42" t="s">
        <v>91</v>
      </c>
      <c r="C114" s="65">
        <f t="shared" si="48"/>
        <v>5100000.0199999996</v>
      </c>
      <c r="D114" s="62">
        <f t="shared" si="49"/>
        <v>0</v>
      </c>
      <c r="E114" s="23">
        <v>0</v>
      </c>
      <c r="F114" s="23">
        <v>0</v>
      </c>
      <c r="G114" s="61">
        <v>0</v>
      </c>
      <c r="H114" s="62">
        <v>0</v>
      </c>
      <c r="I114" s="64">
        <v>0</v>
      </c>
      <c r="J114" s="64">
        <v>0</v>
      </c>
      <c r="K114" s="64">
        <v>0</v>
      </c>
      <c r="L114" s="60">
        <f t="shared" si="50"/>
        <v>5100000.0199999996</v>
      </c>
      <c r="M114" s="63">
        <v>5099949</v>
      </c>
      <c r="N114" s="63">
        <v>51.02</v>
      </c>
      <c r="O114" s="23">
        <v>0</v>
      </c>
      <c r="P114" s="23">
        <v>0</v>
      </c>
      <c r="Q114" s="23">
        <v>0</v>
      </c>
      <c r="R114" s="23">
        <v>0</v>
      </c>
      <c r="S114" s="23">
        <v>0</v>
      </c>
      <c r="T114" s="63">
        <v>0</v>
      </c>
      <c r="U114" s="24"/>
    </row>
    <row r="115" spans="1:23" s="8" customFormat="1" ht="90.75" customHeight="1" x14ac:dyDescent="0.2">
      <c r="A115" s="53">
        <v>4</v>
      </c>
      <c r="B115" s="43" t="s">
        <v>89</v>
      </c>
      <c r="C115" s="65">
        <f t="shared" si="48"/>
        <v>762103996.58999991</v>
      </c>
      <c r="D115" s="62">
        <f t="shared" si="49"/>
        <v>193223885.58999997</v>
      </c>
      <c r="E115" s="27">
        <v>193221953.13999999</v>
      </c>
      <c r="F115" s="27">
        <v>1932.45</v>
      </c>
      <c r="G115" s="74">
        <v>0</v>
      </c>
      <c r="H115" s="75">
        <v>0</v>
      </c>
      <c r="I115" s="28">
        <v>0</v>
      </c>
      <c r="J115" s="28">
        <v>0</v>
      </c>
      <c r="K115" s="28">
        <v>0</v>
      </c>
      <c r="L115" s="60">
        <f t="shared" si="50"/>
        <v>568880111</v>
      </c>
      <c r="M115" s="29">
        <f>568874507.11-84.96</f>
        <v>568874422.14999998</v>
      </c>
      <c r="N115" s="29">
        <v>5688.85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9">
        <v>0</v>
      </c>
    </row>
    <row r="116" spans="1:23" s="19" customFormat="1" ht="77.25" customHeight="1" x14ac:dyDescent="0.2">
      <c r="A116" s="44">
        <v>5</v>
      </c>
      <c r="B116" s="34" t="s">
        <v>63</v>
      </c>
      <c r="C116" s="65">
        <f>D116+H116+L116+P116+T116</f>
        <v>126317452.94857144</v>
      </c>
      <c r="D116" s="62">
        <f t="shared" si="49"/>
        <v>71429285.72857143</v>
      </c>
      <c r="E116" s="23">
        <v>71428571.428571433</v>
      </c>
      <c r="F116" s="23">
        <v>714.3</v>
      </c>
      <c r="G116" s="61">
        <v>0</v>
      </c>
      <c r="H116" s="62">
        <v>0</v>
      </c>
      <c r="I116" s="64">
        <v>0</v>
      </c>
      <c r="J116" s="64">
        <v>0</v>
      </c>
      <c r="K116" s="64">
        <v>0</v>
      </c>
      <c r="L116" s="60">
        <f t="shared" si="50"/>
        <v>54888167.220000006</v>
      </c>
      <c r="M116" s="63">
        <v>54887618.320000008</v>
      </c>
      <c r="N116" s="63">
        <v>548.89999999999986</v>
      </c>
      <c r="O116" s="23">
        <v>0</v>
      </c>
      <c r="P116" s="23">
        <v>0</v>
      </c>
      <c r="Q116" s="23">
        <v>0</v>
      </c>
      <c r="R116" s="23">
        <v>0</v>
      </c>
      <c r="S116" s="23">
        <v>0</v>
      </c>
      <c r="T116" s="63">
        <v>0</v>
      </c>
      <c r="V116" s="24"/>
      <c r="W116" s="24"/>
    </row>
    <row r="117" spans="1:23" s="19" customFormat="1" ht="63" customHeight="1" x14ac:dyDescent="0.2">
      <c r="A117" s="44"/>
      <c r="B117" s="34" t="s">
        <v>24</v>
      </c>
      <c r="C117" s="61">
        <f t="shared" ref="C117:T117" si="51">SUM(C112:C116)</f>
        <v>1461122536.1685712</v>
      </c>
      <c r="D117" s="61">
        <f t="shared" si="51"/>
        <v>371516378.83857137</v>
      </c>
      <c r="E117" s="61">
        <f t="shared" si="51"/>
        <v>371512663.44857144</v>
      </c>
      <c r="F117" s="61">
        <f t="shared" si="51"/>
        <v>3715.3900000000003</v>
      </c>
      <c r="G117" s="61">
        <f t="shared" si="51"/>
        <v>0</v>
      </c>
      <c r="H117" s="61">
        <f t="shared" si="51"/>
        <v>0</v>
      </c>
      <c r="I117" s="61">
        <f t="shared" si="51"/>
        <v>0</v>
      </c>
      <c r="J117" s="61">
        <f t="shared" si="51"/>
        <v>0</v>
      </c>
      <c r="K117" s="61">
        <f t="shared" si="51"/>
        <v>0</v>
      </c>
      <c r="L117" s="61">
        <f t="shared" si="51"/>
        <v>1089450494.3299999</v>
      </c>
      <c r="M117" s="61">
        <f t="shared" si="51"/>
        <v>1089439599.6699998</v>
      </c>
      <c r="N117" s="61">
        <f t="shared" si="51"/>
        <v>10894.660000000002</v>
      </c>
      <c r="O117" s="61">
        <f t="shared" si="51"/>
        <v>0</v>
      </c>
      <c r="P117" s="61">
        <f t="shared" si="51"/>
        <v>0</v>
      </c>
      <c r="Q117" s="61">
        <f t="shared" si="51"/>
        <v>0</v>
      </c>
      <c r="R117" s="61">
        <f t="shared" si="51"/>
        <v>0</v>
      </c>
      <c r="S117" s="61">
        <f t="shared" si="51"/>
        <v>0</v>
      </c>
      <c r="T117" s="61">
        <f t="shared" si="51"/>
        <v>155663</v>
      </c>
      <c r="U117" s="22">
        <v>1582217078.4400001</v>
      </c>
      <c r="V117" s="22">
        <f>U117-C117</f>
        <v>121094542.27142882</v>
      </c>
    </row>
    <row r="118" spans="1:23" s="19" customFormat="1" ht="81.75" customHeight="1" x14ac:dyDescent="0.2">
      <c r="A118" s="44"/>
      <c r="B118" s="34" t="s">
        <v>25</v>
      </c>
      <c r="C118" s="61">
        <f t="shared" ref="C118:T118" si="52">C117+C110+C104+C97+C90+C86+C81+C75+C71</f>
        <v>1646404796.9185712</v>
      </c>
      <c r="D118" s="61">
        <f t="shared" si="52"/>
        <v>371516378.83857137</v>
      </c>
      <c r="E118" s="61">
        <f t="shared" si="52"/>
        <v>371512663.44857144</v>
      </c>
      <c r="F118" s="61">
        <f t="shared" si="52"/>
        <v>3715.3900000000003</v>
      </c>
      <c r="G118" s="61">
        <f t="shared" si="52"/>
        <v>0</v>
      </c>
      <c r="H118" s="61">
        <f t="shared" si="52"/>
        <v>0</v>
      </c>
      <c r="I118" s="61">
        <f t="shared" si="52"/>
        <v>0</v>
      </c>
      <c r="J118" s="61">
        <f t="shared" si="52"/>
        <v>0</v>
      </c>
      <c r="K118" s="61">
        <f t="shared" si="52"/>
        <v>0</v>
      </c>
      <c r="L118" s="61">
        <f t="shared" si="52"/>
        <v>1273245755.0799999</v>
      </c>
      <c r="M118" s="61">
        <f t="shared" si="52"/>
        <v>1273233022.3900001</v>
      </c>
      <c r="N118" s="61">
        <f t="shared" si="52"/>
        <v>12732.690000000002</v>
      </c>
      <c r="O118" s="61">
        <f t="shared" si="52"/>
        <v>0</v>
      </c>
      <c r="P118" s="61">
        <f t="shared" si="52"/>
        <v>0</v>
      </c>
      <c r="Q118" s="61">
        <f t="shared" si="52"/>
        <v>0</v>
      </c>
      <c r="R118" s="61">
        <f t="shared" si="52"/>
        <v>0</v>
      </c>
      <c r="S118" s="61">
        <f t="shared" si="52"/>
        <v>0</v>
      </c>
      <c r="T118" s="61">
        <f t="shared" si="52"/>
        <v>1642663</v>
      </c>
    </row>
    <row r="119" spans="1:23" s="19" customFormat="1" ht="63" customHeight="1" x14ac:dyDescent="0.2">
      <c r="A119" s="111" t="s">
        <v>68</v>
      </c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3"/>
    </row>
    <row r="120" spans="1:23" s="19" customFormat="1" ht="63" customHeight="1" x14ac:dyDescent="0.2">
      <c r="A120" s="40">
        <v>1</v>
      </c>
      <c r="B120" s="34" t="s">
        <v>6</v>
      </c>
      <c r="C120" s="65">
        <f t="shared" ref="C120:C125" si="53">D120+H120+L120+T120</f>
        <v>326841.56</v>
      </c>
      <c r="D120" s="62">
        <f t="shared" ref="D120:D125" si="54">SUM(E120:G120)</f>
        <v>0</v>
      </c>
      <c r="E120" s="61">
        <v>0</v>
      </c>
      <c r="F120" s="61">
        <v>0</v>
      </c>
      <c r="G120" s="61">
        <v>0</v>
      </c>
      <c r="H120" s="62">
        <f>SUM(I120:K120)</f>
        <v>0</v>
      </c>
      <c r="I120" s="64">
        <v>0</v>
      </c>
      <c r="J120" s="64">
        <v>0</v>
      </c>
      <c r="K120" s="64">
        <v>0</v>
      </c>
      <c r="L120" s="60">
        <f t="shared" ref="L120:L125" si="55">SUM(M120:N120)</f>
        <v>326841.56</v>
      </c>
      <c r="M120" s="61">
        <f>146000.1+180840</f>
        <v>326840.09999999998</v>
      </c>
      <c r="N120" s="61">
        <v>1.46</v>
      </c>
      <c r="O120" s="23">
        <v>0</v>
      </c>
      <c r="P120" s="61">
        <f>SUM(Q120:S120)</f>
        <v>0</v>
      </c>
      <c r="Q120" s="23">
        <v>0</v>
      </c>
      <c r="R120" s="23">
        <v>0</v>
      </c>
      <c r="S120" s="23">
        <v>0</v>
      </c>
      <c r="T120" s="61">
        <v>0</v>
      </c>
    </row>
    <row r="121" spans="1:23" s="19" customFormat="1" ht="63" customHeight="1" x14ac:dyDescent="0.2">
      <c r="A121" s="44">
        <v>2</v>
      </c>
      <c r="B121" s="34" t="s">
        <v>7</v>
      </c>
      <c r="C121" s="65">
        <f t="shared" si="53"/>
        <v>349346.57</v>
      </c>
      <c r="D121" s="62">
        <f t="shared" si="54"/>
        <v>0</v>
      </c>
      <c r="E121" s="61">
        <v>0</v>
      </c>
      <c r="F121" s="61">
        <v>0</v>
      </c>
      <c r="G121" s="61">
        <v>0</v>
      </c>
      <c r="H121" s="62">
        <f t="shared" ref="H121:H125" si="56">SUM(I121:K121)</f>
        <v>0</v>
      </c>
      <c r="I121" s="64">
        <v>0</v>
      </c>
      <c r="J121" s="64">
        <v>0</v>
      </c>
      <c r="K121" s="64">
        <v>0</v>
      </c>
      <c r="L121" s="60">
        <f t="shared" si="55"/>
        <v>349346.57</v>
      </c>
      <c r="M121" s="61">
        <f>145900.11+203445</f>
        <v>349345.11</v>
      </c>
      <c r="N121" s="61">
        <v>1.46</v>
      </c>
      <c r="O121" s="23">
        <v>0</v>
      </c>
      <c r="P121" s="61">
        <f t="shared" ref="P121:P126" si="57">SUM(Q121:S121)</f>
        <v>0</v>
      </c>
      <c r="Q121" s="23">
        <v>0</v>
      </c>
      <c r="R121" s="23">
        <v>0</v>
      </c>
      <c r="S121" s="23">
        <v>0</v>
      </c>
      <c r="T121" s="61">
        <v>0</v>
      </c>
    </row>
    <row r="122" spans="1:23" s="19" customFormat="1" ht="63" customHeight="1" x14ac:dyDescent="0.2">
      <c r="A122" s="44">
        <v>3</v>
      </c>
      <c r="B122" s="34" t="s">
        <v>10</v>
      </c>
      <c r="C122" s="65">
        <f t="shared" si="53"/>
        <v>349446.57</v>
      </c>
      <c r="D122" s="62">
        <f t="shared" si="54"/>
        <v>0</v>
      </c>
      <c r="E122" s="61">
        <v>0</v>
      </c>
      <c r="F122" s="61">
        <v>0</v>
      </c>
      <c r="G122" s="61">
        <v>0</v>
      </c>
      <c r="H122" s="62">
        <f t="shared" si="56"/>
        <v>0</v>
      </c>
      <c r="I122" s="64">
        <v>0</v>
      </c>
      <c r="J122" s="64">
        <v>0</v>
      </c>
      <c r="K122" s="64">
        <v>0</v>
      </c>
      <c r="L122" s="60">
        <f t="shared" si="55"/>
        <v>349446.57</v>
      </c>
      <c r="M122" s="61">
        <f>146000.11+203445</f>
        <v>349445.11</v>
      </c>
      <c r="N122" s="61">
        <v>1.46</v>
      </c>
      <c r="O122" s="23">
        <v>0</v>
      </c>
      <c r="P122" s="61">
        <f t="shared" si="57"/>
        <v>0</v>
      </c>
      <c r="Q122" s="23">
        <v>0</v>
      </c>
      <c r="R122" s="23">
        <v>0</v>
      </c>
      <c r="S122" s="23">
        <v>0</v>
      </c>
      <c r="T122" s="61">
        <v>0</v>
      </c>
    </row>
    <row r="123" spans="1:23" s="19" customFormat="1" ht="63" customHeight="1" x14ac:dyDescent="0.2">
      <c r="A123" s="44">
        <v>4</v>
      </c>
      <c r="B123" s="34" t="s">
        <v>12</v>
      </c>
      <c r="C123" s="65">
        <f t="shared" si="53"/>
        <v>326741.57</v>
      </c>
      <c r="D123" s="62">
        <f t="shared" si="54"/>
        <v>0</v>
      </c>
      <c r="E123" s="61">
        <v>0</v>
      </c>
      <c r="F123" s="61">
        <v>0</v>
      </c>
      <c r="G123" s="61">
        <v>0</v>
      </c>
      <c r="H123" s="62">
        <f t="shared" si="56"/>
        <v>0</v>
      </c>
      <c r="I123" s="64">
        <v>0</v>
      </c>
      <c r="J123" s="64">
        <v>0</v>
      </c>
      <c r="K123" s="64">
        <v>0</v>
      </c>
      <c r="L123" s="60">
        <f t="shared" si="55"/>
        <v>326741.57</v>
      </c>
      <c r="M123" s="61">
        <f>145900.11+180840</f>
        <v>326740.11</v>
      </c>
      <c r="N123" s="61">
        <v>1.46</v>
      </c>
      <c r="O123" s="23">
        <v>0</v>
      </c>
      <c r="P123" s="61">
        <f t="shared" si="57"/>
        <v>0</v>
      </c>
      <c r="Q123" s="23">
        <v>0</v>
      </c>
      <c r="R123" s="23">
        <v>0</v>
      </c>
      <c r="S123" s="23">
        <v>0</v>
      </c>
      <c r="T123" s="61">
        <v>0</v>
      </c>
    </row>
    <row r="124" spans="1:23" s="19" customFormat="1" ht="63" customHeight="1" x14ac:dyDescent="0.2">
      <c r="A124" s="44">
        <v>5</v>
      </c>
      <c r="B124" s="34" t="s">
        <v>14</v>
      </c>
      <c r="C124" s="65">
        <f t="shared" si="53"/>
        <v>326841.56</v>
      </c>
      <c r="D124" s="62">
        <f t="shared" si="54"/>
        <v>0</v>
      </c>
      <c r="E124" s="61">
        <v>0</v>
      </c>
      <c r="F124" s="61">
        <v>0</v>
      </c>
      <c r="G124" s="61">
        <v>0</v>
      </c>
      <c r="H124" s="62">
        <f t="shared" si="56"/>
        <v>0</v>
      </c>
      <c r="I124" s="64">
        <v>0</v>
      </c>
      <c r="J124" s="64">
        <v>0</v>
      </c>
      <c r="K124" s="64">
        <v>0</v>
      </c>
      <c r="L124" s="60">
        <f t="shared" si="55"/>
        <v>326841.56</v>
      </c>
      <c r="M124" s="61">
        <f>146000.1+180840</f>
        <v>326840.09999999998</v>
      </c>
      <c r="N124" s="61">
        <v>1.46</v>
      </c>
      <c r="O124" s="23">
        <v>0</v>
      </c>
      <c r="P124" s="61">
        <f t="shared" si="57"/>
        <v>0</v>
      </c>
      <c r="Q124" s="23">
        <v>0</v>
      </c>
      <c r="R124" s="23">
        <v>0</v>
      </c>
      <c r="S124" s="23">
        <v>0</v>
      </c>
      <c r="T124" s="61">
        <v>0</v>
      </c>
    </row>
    <row r="125" spans="1:23" s="19" customFormat="1" ht="63" customHeight="1" x14ac:dyDescent="0.2">
      <c r="A125" s="44">
        <v>6</v>
      </c>
      <c r="B125" s="34" t="s">
        <v>16</v>
      </c>
      <c r="C125" s="65">
        <f t="shared" si="53"/>
        <v>328541.56999999995</v>
      </c>
      <c r="D125" s="62">
        <f t="shared" si="54"/>
        <v>0</v>
      </c>
      <c r="E125" s="61">
        <v>0</v>
      </c>
      <c r="F125" s="61">
        <v>0</v>
      </c>
      <c r="G125" s="61">
        <v>0</v>
      </c>
      <c r="H125" s="62">
        <f t="shared" si="56"/>
        <v>0</v>
      </c>
      <c r="I125" s="64">
        <v>0</v>
      </c>
      <c r="J125" s="64">
        <v>0</v>
      </c>
      <c r="K125" s="64">
        <v>0</v>
      </c>
      <c r="L125" s="60">
        <f t="shared" si="55"/>
        <v>328541.56999999995</v>
      </c>
      <c r="M125" s="61">
        <f>147700.09+180840</f>
        <v>328540.08999999997</v>
      </c>
      <c r="N125" s="61">
        <v>1.48</v>
      </c>
      <c r="O125" s="23">
        <v>0</v>
      </c>
      <c r="P125" s="61">
        <f t="shared" si="57"/>
        <v>0</v>
      </c>
      <c r="Q125" s="23">
        <v>0</v>
      </c>
      <c r="R125" s="23">
        <v>0</v>
      </c>
      <c r="S125" s="23">
        <v>0</v>
      </c>
      <c r="T125" s="61">
        <v>0</v>
      </c>
    </row>
    <row r="126" spans="1:23" s="19" customFormat="1" ht="63" customHeight="1" x14ac:dyDescent="0.2">
      <c r="A126" s="44"/>
      <c r="B126" s="34" t="s">
        <v>69</v>
      </c>
      <c r="C126" s="61">
        <f>SUM(C120:C125)</f>
        <v>2007759.4</v>
      </c>
      <c r="D126" s="61">
        <f t="shared" ref="D126:T126" si="58">SUM(D120:D125)</f>
        <v>0</v>
      </c>
      <c r="E126" s="61">
        <f t="shared" si="58"/>
        <v>0</v>
      </c>
      <c r="F126" s="61">
        <f t="shared" si="58"/>
        <v>0</v>
      </c>
      <c r="G126" s="61">
        <f t="shared" si="58"/>
        <v>0</v>
      </c>
      <c r="H126" s="61">
        <f t="shared" ref="H126:K126" si="59">SUM(H120:H125)</f>
        <v>0</v>
      </c>
      <c r="I126" s="61">
        <f t="shared" si="59"/>
        <v>0</v>
      </c>
      <c r="J126" s="61">
        <f t="shared" si="59"/>
        <v>0</v>
      </c>
      <c r="K126" s="61">
        <f t="shared" si="59"/>
        <v>0</v>
      </c>
      <c r="L126" s="61">
        <f t="shared" si="58"/>
        <v>2007759.4</v>
      </c>
      <c r="M126" s="61">
        <f t="shared" si="58"/>
        <v>2007750.6199999996</v>
      </c>
      <c r="N126" s="61">
        <f t="shared" si="58"/>
        <v>8.7799999999999994</v>
      </c>
      <c r="O126" s="23">
        <v>0</v>
      </c>
      <c r="P126" s="61">
        <f t="shared" si="57"/>
        <v>0</v>
      </c>
      <c r="Q126" s="23">
        <v>0</v>
      </c>
      <c r="R126" s="23">
        <v>0</v>
      </c>
      <c r="S126" s="23">
        <v>0</v>
      </c>
      <c r="T126" s="61">
        <f t="shared" si="58"/>
        <v>0</v>
      </c>
    </row>
    <row r="127" spans="1:23" s="19" customFormat="1" ht="63" customHeight="1" x14ac:dyDescent="0.2">
      <c r="A127" s="44"/>
      <c r="B127" s="34" t="s">
        <v>20</v>
      </c>
      <c r="C127" s="61">
        <f t="shared" ref="C127:T127" si="60">C126+C118+C66</f>
        <v>1770955635.8385713</v>
      </c>
      <c r="D127" s="61">
        <f t="shared" si="60"/>
        <v>373232690.72857136</v>
      </c>
      <c r="E127" s="61">
        <f t="shared" si="60"/>
        <v>373228958.16857147</v>
      </c>
      <c r="F127" s="61">
        <f t="shared" si="60"/>
        <v>3732.5600000000004</v>
      </c>
      <c r="G127" s="61">
        <f t="shared" si="60"/>
        <v>0</v>
      </c>
      <c r="H127" s="61">
        <f t="shared" si="60"/>
        <v>7734160.6699999999</v>
      </c>
      <c r="I127" s="61">
        <f t="shared" si="60"/>
        <v>7734083.3300000001</v>
      </c>
      <c r="J127" s="61">
        <f t="shared" si="60"/>
        <v>77.34</v>
      </c>
      <c r="K127" s="61">
        <f t="shared" si="60"/>
        <v>0</v>
      </c>
      <c r="L127" s="61">
        <f t="shared" si="60"/>
        <v>1310527108.49</v>
      </c>
      <c r="M127" s="61">
        <f t="shared" si="60"/>
        <v>1309473233.02</v>
      </c>
      <c r="N127" s="61">
        <f t="shared" si="60"/>
        <v>13083.790000000003</v>
      </c>
      <c r="O127" s="61">
        <f t="shared" si="60"/>
        <v>1040791.68</v>
      </c>
      <c r="P127" s="61">
        <f t="shared" si="60"/>
        <v>77766012.949999988</v>
      </c>
      <c r="Q127" s="61">
        <f t="shared" si="60"/>
        <v>77197732.640000001</v>
      </c>
      <c r="R127" s="61">
        <f t="shared" si="60"/>
        <v>771.99</v>
      </c>
      <c r="S127" s="61">
        <f t="shared" si="60"/>
        <v>567508.31999999995</v>
      </c>
      <c r="T127" s="61">
        <f t="shared" si="60"/>
        <v>1695663</v>
      </c>
    </row>
    <row r="128" spans="1:23" s="8" customFormat="1" ht="44.25" customHeight="1" x14ac:dyDescent="0.2">
      <c r="A128" s="54"/>
      <c r="B128" s="1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s="8" customFormat="1" ht="44.25" customHeight="1" x14ac:dyDescent="0.2">
      <c r="A129" s="54"/>
      <c r="B129" s="1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s="8" customFormat="1" ht="48" customHeight="1" x14ac:dyDescent="0.2">
      <c r="A130" s="11" t="s">
        <v>102</v>
      </c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x14ac:dyDescent="0.3">
      <c r="B131" s="25"/>
      <c r="C131" s="4"/>
      <c r="E131" s="4"/>
    </row>
    <row r="132" spans="1:20" x14ac:dyDescent="0.3">
      <c r="C132" s="4"/>
      <c r="E132" s="4"/>
    </row>
    <row r="133" spans="1:20" x14ac:dyDescent="0.3">
      <c r="C133" s="4"/>
    </row>
    <row r="135" spans="1:20" x14ac:dyDescent="0.3">
      <c r="C135" s="4" t="e">
        <f>#REF!-#REF!</f>
        <v>#REF!</v>
      </c>
    </row>
    <row r="136" spans="1:20" x14ac:dyDescent="0.3">
      <c r="C136" s="4" t="e">
        <f>C135-#REF!</f>
        <v>#REF!</v>
      </c>
    </row>
    <row r="140" spans="1:20" x14ac:dyDescent="0.3">
      <c r="C140" s="4"/>
      <c r="D140" s="4"/>
    </row>
    <row r="142" spans="1:20" x14ac:dyDescent="0.3">
      <c r="D142" s="4"/>
    </row>
    <row r="143" spans="1:20" x14ac:dyDescent="0.3">
      <c r="C143" s="4"/>
    </row>
  </sheetData>
  <mergeCells count="168">
    <mergeCell ref="P38:P41"/>
    <mergeCell ref="Q38:Q41"/>
    <mergeCell ref="R38:R41"/>
    <mergeCell ref="S38:S41"/>
    <mergeCell ref="T38:T41"/>
    <mergeCell ref="C38:C41"/>
    <mergeCell ref="D38:D41"/>
    <mergeCell ref="E38:E41"/>
    <mergeCell ref="F38:F41"/>
    <mergeCell ref="G38:G41"/>
    <mergeCell ref="H38:H41"/>
    <mergeCell ref="I38:I41"/>
    <mergeCell ref="J38:J41"/>
    <mergeCell ref="K38:K41"/>
    <mergeCell ref="L38:L41"/>
    <mergeCell ref="M38:M41"/>
    <mergeCell ref="N38:N41"/>
    <mergeCell ref="O38:O41"/>
    <mergeCell ref="A34:T34"/>
    <mergeCell ref="P35:P37"/>
    <mergeCell ref="Q35:Q37"/>
    <mergeCell ref="R35:R37"/>
    <mergeCell ref="S35:S37"/>
    <mergeCell ref="T35:T37"/>
    <mergeCell ref="C35:C37"/>
    <mergeCell ref="D35:D37"/>
    <mergeCell ref="E35:E37"/>
    <mergeCell ref="F35:F37"/>
    <mergeCell ref="G35:G37"/>
    <mergeCell ref="H35:H37"/>
    <mergeCell ref="I35:I37"/>
    <mergeCell ref="J35:J37"/>
    <mergeCell ref="K35:K37"/>
    <mergeCell ref="L35:L37"/>
    <mergeCell ref="M35:M37"/>
    <mergeCell ref="N35:N37"/>
    <mergeCell ref="O35:O37"/>
    <mergeCell ref="T62:T64"/>
    <mergeCell ref="A44:T44"/>
    <mergeCell ref="S45:S52"/>
    <mergeCell ref="O56:O58"/>
    <mergeCell ref="C62:C64"/>
    <mergeCell ref="D62:D64"/>
    <mergeCell ref="E62:E64"/>
    <mergeCell ref="F62:F64"/>
    <mergeCell ref="G62:G64"/>
    <mergeCell ref="H62:H64"/>
    <mergeCell ref="I62:I64"/>
    <mergeCell ref="J62:J64"/>
    <mergeCell ref="K62:K64"/>
    <mergeCell ref="P45:P52"/>
    <mergeCell ref="L62:L64"/>
    <mergeCell ref="R45:R52"/>
    <mergeCell ref="H45:H52"/>
    <mergeCell ref="I45:I52"/>
    <mergeCell ref="J45:J52"/>
    <mergeCell ref="K45:K52"/>
    <mergeCell ref="A119:T119"/>
    <mergeCell ref="A76:T76"/>
    <mergeCell ref="L45:L52"/>
    <mergeCell ref="M45:M52"/>
    <mergeCell ref="N45:N52"/>
    <mergeCell ref="T45:T52"/>
    <mergeCell ref="C45:C52"/>
    <mergeCell ref="D45:D52"/>
    <mergeCell ref="E45:E52"/>
    <mergeCell ref="F45:F52"/>
    <mergeCell ref="G45:G52"/>
    <mergeCell ref="G56:G58"/>
    <mergeCell ref="N56:N58"/>
    <mergeCell ref="C56:C58"/>
    <mergeCell ref="A55:T55"/>
    <mergeCell ref="A82:T82"/>
    <mergeCell ref="H56:H58"/>
    <mergeCell ref="A72:T72"/>
    <mergeCell ref="S56:S58"/>
    <mergeCell ref="O45:O52"/>
    <mergeCell ref="Q45:Q52"/>
    <mergeCell ref="A111:T111"/>
    <mergeCell ref="T56:T58"/>
    <mergeCell ref="A67:T67"/>
    <mergeCell ref="A68:T68"/>
    <mergeCell ref="D56:D58"/>
    <mergeCell ref="F56:F58"/>
    <mergeCell ref="E56:E58"/>
    <mergeCell ref="A105:T105"/>
    <mergeCell ref="L56:L58"/>
    <mergeCell ref="M56:M58"/>
    <mergeCell ref="A98:T98"/>
    <mergeCell ref="I56:I58"/>
    <mergeCell ref="J56:J58"/>
    <mergeCell ref="K56:K58"/>
    <mergeCell ref="A91:T91"/>
    <mergeCell ref="A61:T61"/>
    <mergeCell ref="A87:T87"/>
    <mergeCell ref="Q56:Q58"/>
    <mergeCell ref="R56:R58"/>
    <mergeCell ref="N62:N64"/>
    <mergeCell ref="P56:P58"/>
    <mergeCell ref="M62:M64"/>
    <mergeCell ref="O62:O64"/>
    <mergeCell ref="P62:P64"/>
    <mergeCell ref="Q62:Q64"/>
    <mergeCell ref="R62:R64"/>
    <mergeCell ref="S62:S64"/>
    <mergeCell ref="P15:S15"/>
    <mergeCell ref="P16:P17"/>
    <mergeCell ref="Q16:R16"/>
    <mergeCell ref="S16:S17"/>
    <mergeCell ref="M16:N16"/>
    <mergeCell ref="A9:T9"/>
    <mergeCell ref="A10:T10"/>
    <mergeCell ref="A11:T11"/>
    <mergeCell ref="A12:T12"/>
    <mergeCell ref="D15:G15"/>
    <mergeCell ref="A15:A17"/>
    <mergeCell ref="B15:B17"/>
    <mergeCell ref="C15:C17"/>
    <mergeCell ref="L16:L17"/>
    <mergeCell ref="H15:K15"/>
    <mergeCell ref="H16:H17"/>
    <mergeCell ref="I16:J16"/>
    <mergeCell ref="K16:K17"/>
    <mergeCell ref="L15:O15"/>
    <mergeCell ref="O16:O17"/>
    <mergeCell ref="D16:D17"/>
    <mergeCell ref="G16:G17"/>
    <mergeCell ref="E16:F16"/>
    <mergeCell ref="T15:T17"/>
    <mergeCell ref="A19:T19"/>
    <mergeCell ref="P21:P25"/>
    <mergeCell ref="Q21:Q25"/>
    <mergeCell ref="R21:R25"/>
    <mergeCell ref="S21:S25"/>
    <mergeCell ref="R29:R32"/>
    <mergeCell ref="S29:S32"/>
    <mergeCell ref="T21:T25"/>
    <mergeCell ref="D21:D25"/>
    <mergeCell ref="E21:E25"/>
    <mergeCell ref="F21:F25"/>
    <mergeCell ref="H29:H32"/>
    <mergeCell ref="K21:K25"/>
    <mergeCell ref="O21:O25"/>
    <mergeCell ref="T29:T32"/>
    <mergeCell ref="C29:C32"/>
    <mergeCell ref="D29:D32"/>
    <mergeCell ref="E29:E32"/>
    <mergeCell ref="Q29:Q32"/>
    <mergeCell ref="C21:C25"/>
    <mergeCell ref="G21:G25"/>
    <mergeCell ref="F29:F32"/>
    <mergeCell ref="O29:O32"/>
    <mergeCell ref="M29:M32"/>
    <mergeCell ref="A20:T20"/>
    <mergeCell ref="N21:N25"/>
    <mergeCell ref="G29:G32"/>
    <mergeCell ref="A28:T28"/>
    <mergeCell ref="I29:I32"/>
    <mergeCell ref="L21:L25"/>
    <mergeCell ref="M21:M25"/>
    <mergeCell ref="H21:H25"/>
    <mergeCell ref="I21:I25"/>
    <mergeCell ref="J21:J25"/>
    <mergeCell ref="P29:P32"/>
    <mergeCell ref="N29:N32"/>
    <mergeCell ref="J29:J32"/>
    <mergeCell ref="K29:K32"/>
    <mergeCell ref="L29:L32"/>
  </mergeCells>
  <pageMargins left="1.3779527559055118" right="0.39370078740157483" top="1.5748031496062993" bottom="0.59055118110236227" header="0.31496062992125984" footer="0.31496062992125984"/>
  <pageSetup paperSize="8" scale="37" fitToHeight="0" orientation="landscape" r:id="rId1"/>
  <headerFooter differentFirst="1">
    <oddHeader>&amp;C&amp;P</oddHeader>
  </headerFooter>
  <rowBreaks count="2" manualBreakCount="2">
    <brk id="37" max="19" man="1"/>
    <brk id="66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 </vt:lpstr>
      <vt:lpstr>'Свод '!Заголовки_для_печати</vt:lpstr>
      <vt:lpstr>'Свод 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Шульгина</cp:lastModifiedBy>
  <cp:lastPrinted>2023-08-23T12:28:18Z</cp:lastPrinted>
  <dcterms:created xsi:type="dcterms:W3CDTF">2002-03-25T05:35:56Z</dcterms:created>
  <dcterms:modified xsi:type="dcterms:W3CDTF">2023-11-14T08:13:30Z</dcterms:modified>
</cp:coreProperties>
</file>