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externalReferences>
    <externalReference r:id="rId2"/>
  </externalReferences>
  <definedNames>
    <definedName name="_xlnm._FilterDatabase" localSheetId="0" hidden="1">'Свод '!$A$18:$K$18</definedName>
    <definedName name="_xlnm.Print_Titles" localSheetId="0">'Свод '!$18:$18</definedName>
    <definedName name="_xlnm.Print_Area" localSheetId="0">'Свод '!$A$1:$N$104</definedName>
  </definedNames>
  <calcPr calcId="145621"/>
</workbook>
</file>

<file path=xl/calcChain.xml><?xml version="1.0" encoding="utf-8"?>
<calcChain xmlns="http://schemas.openxmlformats.org/spreadsheetml/2006/main">
  <c r="F86" i="6" l="1"/>
  <c r="G47" i="6"/>
  <c r="E126" i="6" l="1"/>
  <c r="K91" i="6"/>
  <c r="D91" i="6"/>
  <c r="C91" i="6"/>
  <c r="N92" i="6"/>
  <c r="M92" i="6"/>
  <c r="D127" i="6"/>
  <c r="D126" i="6"/>
  <c r="E112" i="6"/>
  <c r="E86" i="6"/>
  <c r="F47" i="6"/>
  <c r="D125" i="6" l="1"/>
  <c r="D66" i="6"/>
  <c r="E66" i="6"/>
  <c r="F66" i="6"/>
  <c r="G66" i="6"/>
  <c r="H66" i="6"/>
  <c r="I66" i="6"/>
  <c r="J66" i="6"/>
  <c r="K66" i="6"/>
  <c r="L66" i="6"/>
  <c r="M66" i="6"/>
  <c r="N66" i="6"/>
  <c r="C66" i="6"/>
  <c r="K65" i="6"/>
  <c r="H65" i="6"/>
  <c r="D65" i="6"/>
  <c r="D124" i="6"/>
  <c r="D123" i="6"/>
  <c r="J47" i="6"/>
  <c r="I47" i="6"/>
  <c r="D122" i="6"/>
  <c r="D121" i="6"/>
  <c r="D120" i="6"/>
  <c r="D119" i="6"/>
  <c r="C28" i="6"/>
  <c r="K27" i="6"/>
  <c r="H27" i="6"/>
  <c r="D27" i="6"/>
  <c r="K26" i="6"/>
  <c r="D21" i="6"/>
  <c r="H26" i="6"/>
  <c r="D26" i="6"/>
  <c r="D28" i="6"/>
  <c r="E28" i="6"/>
  <c r="F28" i="6"/>
  <c r="G28" i="6"/>
  <c r="H28" i="6"/>
  <c r="I28" i="6"/>
  <c r="J28" i="6"/>
  <c r="K28" i="6"/>
  <c r="L28" i="6"/>
  <c r="M28" i="6"/>
  <c r="N28" i="6"/>
  <c r="C26" i="6"/>
  <c r="C87" i="6"/>
  <c r="C65" i="6" l="1"/>
  <c r="C27" i="6"/>
  <c r="M93" i="6" l="1"/>
  <c r="D92" i="6"/>
  <c r="E92" i="6"/>
  <c r="F92" i="6"/>
  <c r="G92" i="6"/>
  <c r="G93" i="6" s="1"/>
  <c r="I92" i="6"/>
  <c r="I93" i="6" s="1"/>
  <c r="J92" i="6"/>
  <c r="J93" i="6" s="1"/>
  <c r="L92" i="6"/>
  <c r="L93" i="6" s="1"/>
  <c r="K92" i="6"/>
  <c r="K93" i="6" s="1"/>
  <c r="H91" i="6"/>
  <c r="H92" i="6" s="1"/>
  <c r="H93" i="6" s="1"/>
  <c r="C88" i="6"/>
  <c r="C92" i="6" l="1"/>
  <c r="C126" i="6" l="1"/>
  <c r="E47" i="6"/>
  <c r="F21" i="6" l="1"/>
  <c r="E21" i="6"/>
  <c r="J21" i="6"/>
  <c r="I21" i="6"/>
  <c r="J37" i="6" l="1"/>
  <c r="I37" i="6"/>
  <c r="F37" i="6"/>
  <c r="E37" i="6"/>
  <c r="K80" i="6"/>
  <c r="C73" i="6"/>
  <c r="N74" i="6" l="1"/>
  <c r="C34" i="6"/>
  <c r="J35" i="6"/>
  <c r="K30" i="6"/>
  <c r="K82" i="6" l="1"/>
  <c r="H82" i="6"/>
  <c r="D82" i="6"/>
  <c r="C82" i="6" s="1"/>
  <c r="K71" i="6" l="1"/>
  <c r="H71" i="6"/>
  <c r="D71" i="6"/>
  <c r="C71" i="6" l="1"/>
  <c r="K87" i="6" l="1"/>
  <c r="N87" i="6" l="1"/>
  <c r="N89" i="6" l="1"/>
  <c r="K100" i="6" l="1"/>
  <c r="K99" i="6"/>
  <c r="K98" i="6"/>
  <c r="K97" i="6"/>
  <c r="K96" i="6"/>
  <c r="K95" i="6"/>
  <c r="H100" i="6"/>
  <c r="C100" i="6" s="1"/>
  <c r="H99" i="6"/>
  <c r="H98" i="6"/>
  <c r="H97" i="6"/>
  <c r="H96" i="6"/>
  <c r="C96" i="6" s="1"/>
  <c r="H95" i="6"/>
  <c r="D100" i="6"/>
  <c r="D99" i="6"/>
  <c r="D98" i="6"/>
  <c r="C98" i="6" s="1"/>
  <c r="D97" i="6"/>
  <c r="C97" i="6" s="1"/>
  <c r="D96" i="6"/>
  <c r="D95" i="6"/>
  <c r="E101" i="6"/>
  <c r="F101" i="6"/>
  <c r="G101" i="6"/>
  <c r="I101" i="6"/>
  <c r="J101" i="6"/>
  <c r="K101" i="6"/>
  <c r="L101" i="6"/>
  <c r="M101" i="6"/>
  <c r="N101" i="6"/>
  <c r="H101" i="6" l="1"/>
  <c r="C95" i="6"/>
  <c r="C99" i="6"/>
  <c r="D101" i="6"/>
  <c r="C101" i="6" l="1"/>
  <c r="E54" i="6" l="1"/>
  <c r="F54" i="6"/>
  <c r="G54" i="6"/>
  <c r="I54" i="6"/>
  <c r="J54" i="6"/>
  <c r="L54" i="6"/>
  <c r="M54" i="6"/>
  <c r="N54" i="6"/>
  <c r="E35" i="6"/>
  <c r="F35" i="6"/>
  <c r="G35" i="6"/>
  <c r="I35" i="6"/>
  <c r="L35" i="6"/>
  <c r="M35" i="6"/>
  <c r="H61" i="6"/>
  <c r="D56" i="6"/>
  <c r="H56" i="6"/>
  <c r="D59" i="6" l="1"/>
  <c r="E59" i="6"/>
  <c r="F59" i="6"/>
  <c r="G59" i="6"/>
  <c r="H59" i="6"/>
  <c r="I59" i="6"/>
  <c r="I67" i="6" s="1"/>
  <c r="I102" i="6" s="1"/>
  <c r="J59" i="6"/>
  <c r="L59" i="6"/>
  <c r="M59" i="6"/>
  <c r="N59" i="6"/>
  <c r="E74" i="6" l="1"/>
  <c r="F74" i="6"/>
  <c r="G74" i="6"/>
  <c r="I74" i="6"/>
  <c r="J74" i="6"/>
  <c r="L74" i="6"/>
  <c r="M74" i="6"/>
  <c r="E84" i="6"/>
  <c r="F84" i="6"/>
  <c r="G84" i="6"/>
  <c r="I84" i="6"/>
  <c r="J84" i="6"/>
  <c r="L84" i="6"/>
  <c r="M84" i="6"/>
  <c r="N84" i="6"/>
  <c r="N93" i="6" s="1"/>
  <c r="E78" i="6"/>
  <c r="F78" i="6"/>
  <c r="G78" i="6"/>
  <c r="I78" i="6"/>
  <c r="J78" i="6"/>
  <c r="L78" i="6"/>
  <c r="M78" i="6"/>
  <c r="N78" i="6"/>
  <c r="D77" i="6"/>
  <c r="H77" i="6"/>
  <c r="K77" i="6"/>
  <c r="C77" i="6" l="1"/>
  <c r="K53" i="6" l="1"/>
  <c r="H53" i="6"/>
  <c r="D53" i="6"/>
  <c r="K73" i="6"/>
  <c r="H73" i="6"/>
  <c r="D73" i="6"/>
  <c r="K44" i="6"/>
  <c r="H44" i="6"/>
  <c r="E45" i="6"/>
  <c r="E67" i="6" s="1"/>
  <c r="F45" i="6"/>
  <c r="F67" i="6" s="1"/>
  <c r="G45" i="6"/>
  <c r="I45" i="6"/>
  <c r="J45" i="6"/>
  <c r="J67" i="6" s="1"/>
  <c r="L45" i="6"/>
  <c r="L67" i="6" s="1"/>
  <c r="M45" i="6"/>
  <c r="M67" i="6" s="1"/>
  <c r="N45" i="6"/>
  <c r="N67" i="6" s="1"/>
  <c r="D44" i="6"/>
  <c r="C44" i="6" l="1"/>
  <c r="C45" i="6" s="1"/>
  <c r="N102" i="6"/>
  <c r="N107" i="6" s="1"/>
  <c r="C53" i="6"/>
  <c r="E89" i="6" l="1"/>
  <c r="F89" i="6"/>
  <c r="G89" i="6"/>
  <c r="I89" i="6"/>
  <c r="J89" i="6"/>
  <c r="J102" i="6" s="1"/>
  <c r="H87" i="6"/>
  <c r="H88" i="6"/>
  <c r="H86" i="6"/>
  <c r="H81" i="6"/>
  <c r="H83" i="6"/>
  <c r="H80" i="6"/>
  <c r="H76" i="6"/>
  <c r="H78" i="6" s="1"/>
  <c r="H70" i="6"/>
  <c r="H74" i="6" s="1"/>
  <c r="H47" i="6"/>
  <c r="H54" i="6" s="1"/>
  <c r="H37" i="6"/>
  <c r="H45" i="6" s="1"/>
  <c r="H30" i="6"/>
  <c r="F93" i="6" l="1"/>
  <c r="F102" i="6" s="1"/>
  <c r="E102" i="6"/>
  <c r="E93" i="6"/>
  <c r="I107" i="6"/>
  <c r="C135" i="6"/>
  <c r="H84" i="6"/>
  <c r="H35" i="6"/>
  <c r="H89" i="6"/>
  <c r="F112" i="6" l="1"/>
  <c r="D135" i="6"/>
  <c r="D138" i="6" s="1"/>
  <c r="J107" i="6"/>
  <c r="H21" i="6"/>
  <c r="H67" i="6" l="1"/>
  <c r="K83" i="6"/>
  <c r="H102" i="6" l="1"/>
  <c r="H107" i="6" s="1"/>
  <c r="K81" i="6"/>
  <c r="K21" i="6" l="1"/>
  <c r="C21" i="6" s="1"/>
  <c r="O22" i="6" l="1"/>
  <c r="C119" i="6"/>
  <c r="E119" i="6" s="1"/>
  <c r="D81" i="6"/>
  <c r="D83" i="6"/>
  <c r="C83" i="6" s="1"/>
  <c r="C81" i="6" l="1"/>
  <c r="L88" i="6"/>
  <c r="L89" i="6" s="1"/>
  <c r="L102" i="6" s="1"/>
  <c r="M88" i="6"/>
  <c r="M89" i="6" s="1"/>
  <c r="M102" i="6" s="1"/>
  <c r="K70" i="6"/>
  <c r="K74" i="6" s="1"/>
  <c r="D70" i="6"/>
  <c r="D74" i="6" s="1"/>
  <c r="C70" i="6" l="1"/>
  <c r="C74" i="6" s="1"/>
  <c r="K88" i="6"/>
  <c r="K86" i="6"/>
  <c r="K84" i="6"/>
  <c r="K76" i="6"/>
  <c r="K78" i="6" s="1"/>
  <c r="K61" i="6"/>
  <c r="K56" i="6"/>
  <c r="K47" i="6"/>
  <c r="K54" i="6" s="1"/>
  <c r="K37" i="6"/>
  <c r="K45" i="6" s="1"/>
  <c r="C56" i="6" l="1"/>
  <c r="K59" i="6"/>
  <c r="K89" i="6"/>
  <c r="L107" i="6"/>
  <c r="C59" i="6" l="1"/>
  <c r="C123" i="6" s="1"/>
  <c r="M107" i="6"/>
  <c r="D61" i="6" l="1"/>
  <c r="G67" i="6"/>
  <c r="G102" i="6" s="1"/>
  <c r="D88" i="6"/>
  <c r="C61" i="6" l="1"/>
  <c r="D76" i="6"/>
  <c r="D87" i="6"/>
  <c r="D78" i="6" l="1"/>
  <c r="C76" i="6"/>
  <c r="C78" i="6" s="1"/>
  <c r="D86" i="6"/>
  <c r="C86" i="6" s="1"/>
  <c r="C89" i="6" s="1"/>
  <c r="D80" i="6"/>
  <c r="D47" i="6"/>
  <c r="D37" i="6"/>
  <c r="C37" i="6" s="1"/>
  <c r="D30" i="6"/>
  <c r="C30" i="6" s="1"/>
  <c r="C35" i="6" s="1"/>
  <c r="C125" i="6" l="1"/>
  <c r="E125" i="6" s="1"/>
  <c r="C93" i="6"/>
  <c r="D84" i="6"/>
  <c r="C80" i="6"/>
  <c r="D35" i="6"/>
  <c r="C47" i="6"/>
  <c r="C54" i="6" s="1"/>
  <c r="D54" i="6"/>
  <c r="C84" i="6"/>
  <c r="D89" i="6"/>
  <c r="D93" i="6" s="1"/>
  <c r="D45" i="6"/>
  <c r="C124" i="6" l="1"/>
  <c r="E124" i="6" s="1"/>
  <c r="C121" i="6"/>
  <c r="E121" i="6" s="1"/>
  <c r="C120" i="6"/>
  <c r="E120" i="6" s="1"/>
  <c r="C122" i="6"/>
  <c r="D67" i="6"/>
  <c r="D102" i="6" s="1"/>
  <c r="D107" i="6" s="1"/>
  <c r="C67" i="6"/>
  <c r="C102" i="6" s="1"/>
  <c r="G107" i="6"/>
  <c r="C107" i="6" l="1"/>
  <c r="C138" i="6"/>
  <c r="E123" i="6" l="1"/>
  <c r="E122" i="6"/>
  <c r="C127" i="6" l="1"/>
  <c r="E107" i="6"/>
  <c r="F107" i="6"/>
  <c r="B18" i="6"/>
  <c r="C18" i="6" s="1"/>
  <c r="D18" i="6" s="1"/>
  <c r="E18" i="6" s="1"/>
  <c r="F18" i="6" s="1"/>
  <c r="K35" i="6"/>
  <c r="K67" i="6"/>
  <c r="K102" i="6"/>
  <c r="K107" i="6"/>
</calcChain>
</file>

<file path=xl/sharedStrings.xml><?xml version="1.0" encoding="utf-8"?>
<sst xmlns="http://schemas.openxmlformats.org/spreadsheetml/2006/main" count="129" uniqueCount="102">
  <si>
    <t>Благоустройство 0503</t>
  </si>
  <si>
    <t>городского округа город Воронеж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</si>
  <si>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</si>
  <si>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</si>
  <si>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</si>
  <si>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</si>
  <si>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</si>
  <si>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</si>
  <si>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</si>
  <si>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</si>
  <si>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</si>
  <si>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</si>
  <si>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</si>
  <si>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</si>
  <si>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</si>
  <si>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</si>
  <si>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</si>
  <si>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</si>
  <si>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</si>
  <si>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</si>
  <si>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</si>
  <si>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</si>
  <si>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</si>
  <si>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</si>
  <si>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</si>
  <si>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</si>
  <si>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Итого по благоустройству дворовых территорий</t>
  </si>
  <si>
    <t>Итого по Центральному району</t>
  </si>
  <si>
    <t>средства городского округа</t>
  </si>
  <si>
    <t>средства федерального и областного бюджетов</t>
  </si>
  <si>
    <t>Благоустройство проспекта Революции в городе Воронеже</t>
  </si>
  <si>
    <t>ул. 25 Января, д. 28</t>
  </si>
  <si>
    <t>ул. Минская, д. 35</t>
  </si>
  <si>
    <t>ул. Остужева, д. 28</t>
  </si>
  <si>
    <t>ул. Хользунова, д. 109</t>
  </si>
  <si>
    <t>б-р Победы, д. 1</t>
  </si>
  <si>
    <t>ул. Баррикадная, д. 33</t>
  </si>
  <si>
    <t>ул. Димитрова, д. 135</t>
  </si>
  <si>
    <t>ул. Героев Стратосферы, д. 15</t>
  </si>
  <si>
    <t>ул. Циолковского, д. 121</t>
  </si>
  <si>
    <t>ул. Циолковского, д. 121а</t>
  </si>
  <si>
    <t>ул. Матросова, д. 6</t>
  </si>
  <si>
    <t>ул. Плехановская, д. 31</t>
  </si>
  <si>
    <t>ул. Никитинская, д. 44</t>
  </si>
  <si>
    <t>ул. Ворошилова, д. 6</t>
  </si>
  <si>
    <t>ул. Героев Сибиряков, д. 89</t>
  </si>
  <si>
    <t>ул. 232 Стрелковой дивизии, д. 27</t>
  </si>
  <si>
    <t>ул. 232 Стрелковой дивизии, д. 45</t>
  </si>
  <si>
    <t>ул. Сакко и Ванцетти, д. 63</t>
  </si>
  <si>
    <t>ул. Карла Маркса, д. 108/110</t>
  </si>
  <si>
    <t>стоимость работ (включая НДС), руб.</t>
  </si>
  <si>
    <t>ул. Владимира Невского, д. 1А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</si>
  <si>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</si>
  <si>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ул. Лесной массив, д. 2А</t>
  </si>
  <si>
    <t>пр-кт Ленинский, д. 179, 181</t>
  </si>
  <si>
    <t>пр-кт Ленинский, д. 28/1</t>
  </si>
  <si>
    <t>пер. Ольховый, д. 7</t>
  </si>
  <si>
    <t>ул. 20-летия Октября, д. 94,               ул. Красноармейская, д. 27,                 ул. Кольцовская, д. 49</t>
  </si>
  <si>
    <t>ул. 20-летия Октября, д. 38А</t>
  </si>
  <si>
    <t>ул. Плехановская, д. 58А</t>
  </si>
  <si>
    <t>ул. Березовая роща, д. 38А</t>
  </si>
  <si>
    <t>ул. Новгородская, д. 129</t>
  </si>
  <si>
    <t>Благоустройство парка культуры и отдыха «Орленок» в городе Воронеже</t>
  </si>
  <si>
    <t>Сквер имени Г.А. Сухомлинова, ул. Кольцовская, 43в</t>
  </si>
  <si>
    <t>Благоустройство Петровской набережной (I очередь)</t>
  </si>
  <si>
    <t>по соглашению 20701000-1-2022-005 от 24.01.2022, 
 руб.</t>
  </si>
  <si>
    <t>по соглашению (доп. средства),  
 руб.</t>
  </si>
  <si>
    <t xml:space="preserve">ассигнований бюджета городского округа город Воронеж на 2022 год на проведение мероприятий </t>
  </si>
  <si>
    <t>сквер Майский, ул. Майская, 15д</t>
  </si>
  <si>
    <t>разница</t>
  </si>
  <si>
    <t>Дополнительные средства  бюджета городского округа город Воронеж, руб.</t>
  </si>
  <si>
    <t>Общественная территория мемориальный комплекс «Площадь Победы»</t>
  </si>
  <si>
    <t xml:space="preserve">Проведение проверки достоверности сметной стоимости </t>
  </si>
  <si>
    <t>Дорожное хозяйство 0409</t>
  </si>
  <si>
    <t>Проведение проверки достоверности сметной стоимости</t>
  </si>
  <si>
    <t>железнодорожный</t>
  </si>
  <si>
    <t>коминтерновский</t>
  </si>
  <si>
    <t>левобережный</t>
  </si>
  <si>
    <t>ленинский</t>
  </si>
  <si>
    <t>советский</t>
  </si>
  <si>
    <t>центральный</t>
  </si>
  <si>
    <t>управление СП</t>
  </si>
  <si>
    <t>Оформление кадастровых справок</t>
  </si>
  <si>
    <t>форма 40 УФБП</t>
  </si>
  <si>
    <t>Соглашение</t>
  </si>
  <si>
    <t xml:space="preserve">20701000-1-2022-005 от 24.01.2022, </t>
  </si>
  <si>
    <t>фед+обл</t>
  </si>
  <si>
    <t>Мероприятие по повышению уровня информирования граждан о проведении голосования по отбору общественных территорий, подлежащих благоустройству</t>
  </si>
  <si>
    <t>Итого по мероприятию</t>
  </si>
  <si>
    <t>соглашение</t>
  </si>
  <si>
    <t>бульвар «Таврово», с. Таврово, ул. Корабельная, 28д</t>
  </si>
  <si>
    <t>2</t>
  </si>
  <si>
    <t>Общественная территория у памятника «Детям – жертвам фашистской бомбардировки», ул. Театральная, между д. 32 и д. 34</t>
  </si>
  <si>
    <t>Общественная территория «Бульвар Карла Маркса»</t>
  </si>
  <si>
    <t xml:space="preserve">Руководитель управления жилищно-коммунального хозяйства                                                                                                                    Д.В. Соломаха                                                                                       </t>
  </si>
  <si>
    <t>«Формирование современной городской среды на территории городского округа город Воронеж»</t>
  </si>
  <si>
    <t>распоряжение от 13.09.2022 № 479-р</t>
  </si>
  <si>
    <t>Воронежский центральный парк, ул. Ленина, 10</t>
  </si>
  <si>
    <t>Управление экологии</t>
  </si>
  <si>
    <t>Итого по управлению экологии</t>
  </si>
  <si>
    <t>экология</t>
  </si>
  <si>
    <t>от 09.11.2022    № 613-р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</si>
</sst>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sz val="2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7">
    <xf numFmtId="0" fontId="0" fillId="0" borderId="0" xfId="0"/>
    <xf numFmtId="4" fontId="6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" fontId="4" fillId="2" borderId="0" xfId="0" applyNumberFormat="1" applyFont="1" applyFill="1"/>
    <xf numFmtId="0" fontId="9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4" fontId="12" fillId="2" borderId="0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4" fontId="15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1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3" fontId="13" fillId="2" borderId="0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left" vertical="center" wrapText="1"/>
    </xf>
    <xf numFmtId="4" fontId="13" fillId="2" borderId="0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left" vertical="center" wrapText="1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/>
    </xf>
    <xf numFmtId="4" fontId="15" fillId="2" borderId="4" xfId="0" applyNumberFormat="1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/>
    </xf>
    <xf numFmtId="4" fontId="15" fillId="2" borderId="4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wrapText="1"/>
    </xf>
    <xf numFmtId="0" fontId="15" fillId="2" borderId="0" xfId="0" applyFont="1" applyFill="1"/>
    <xf numFmtId="4" fontId="15" fillId="2" borderId="0" xfId="0" applyNumberFormat="1" applyFont="1" applyFill="1"/>
    <xf numFmtId="0" fontId="16" fillId="2" borderId="1" xfId="0" applyFont="1" applyFill="1" applyBorder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4" fontId="18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15" fillId="2" borderId="0" xfId="0" applyNumberFormat="1" applyFont="1" applyFill="1" applyAlignment="1">
      <alignment vertical="center"/>
    </xf>
    <xf numFmtId="4" fontId="18" fillId="2" borderId="0" xfId="0" applyNumberFormat="1" applyFont="1" applyFill="1" applyAlignment="1">
      <alignment vertical="center"/>
    </xf>
    <xf numFmtId="4" fontId="15" fillId="2" borderId="0" xfId="0" applyNumberFormat="1" applyFont="1" applyFill="1" applyBorder="1" applyAlignment="1">
      <alignment vertical="center"/>
    </xf>
    <xf numFmtId="4" fontId="13" fillId="3" borderId="0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vertical="center"/>
    </xf>
    <xf numFmtId="164" fontId="13" fillId="2" borderId="2" xfId="0" applyNumberFormat="1" applyFont="1" applyFill="1" applyBorder="1" applyAlignment="1">
      <alignment vertical="center"/>
    </xf>
    <xf numFmtId="164" fontId="13" fillId="2" borderId="3" xfId="0" applyNumberFormat="1" applyFont="1" applyFill="1" applyBorder="1" applyAlignment="1">
      <alignment vertical="center"/>
    </xf>
    <xf numFmtId="164" fontId="13" fillId="2" borderId="4" xfId="0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164" fontId="13" fillId="2" borderId="4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horizontal="center" vertical="center"/>
    </xf>
    <xf numFmtId="2" fontId="4" fillId="2" borderId="0" xfId="0" applyNumberFormat="1" applyFont="1" applyFill="1"/>
    <xf numFmtId="0" fontId="18" fillId="2" borderId="0" xfId="0" applyFont="1" applyFill="1"/>
    <xf numFmtId="4" fontId="13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2" fontId="18" fillId="2" borderId="0" xfId="0" applyNumberFormat="1" applyFont="1" applyFill="1" applyAlignment="1">
      <alignment vertical="center"/>
    </xf>
    <xf numFmtId="4" fontId="18" fillId="2" borderId="0" xfId="0" applyNumberFormat="1" applyFont="1" applyFill="1" applyBorder="1" applyAlignment="1">
      <alignment vertical="center"/>
    </xf>
    <xf numFmtId="2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left" vertical="center" wrapText="1"/>
    </xf>
    <xf numFmtId="4" fontId="19" fillId="2" borderId="0" xfId="0" applyNumberFormat="1" applyFont="1" applyFill="1" applyAlignment="1">
      <alignment horizontal="right" vertical="center"/>
    </xf>
    <xf numFmtId="4" fontId="19" fillId="2" borderId="0" xfId="0" applyNumberFormat="1" applyFont="1" applyFill="1" applyAlignment="1">
      <alignment horizontal="left" vertical="center"/>
    </xf>
    <xf numFmtId="4" fontId="19" fillId="2" borderId="0" xfId="0" applyNumberFormat="1" applyFont="1" applyFill="1" applyAlignment="1">
      <alignment vertical="center"/>
    </xf>
    <xf numFmtId="4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0" xfId="0" applyFont="1" applyFill="1" applyAlignment="1">
      <alignment wrapText="1"/>
    </xf>
    <xf numFmtId="4" fontId="19" fillId="2" borderId="0" xfId="0" applyNumberFormat="1" applyFont="1" applyFill="1"/>
    <xf numFmtId="0" fontId="18" fillId="2" borderId="0" xfId="0" applyFont="1" applyFill="1" applyAlignment="1">
      <alignment wrapText="1"/>
    </xf>
    <xf numFmtId="0" fontId="18" fillId="2" borderId="0" xfId="0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2" fontId="18" fillId="2" borderId="0" xfId="0" applyNumberFormat="1" applyFont="1" applyFill="1"/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4" fontId="15" fillId="2" borderId="9" xfId="0" applyNumberFormat="1" applyFont="1" applyFill="1" applyBorder="1" applyAlignment="1">
      <alignment horizontal="center" vertical="center" wrapText="1"/>
    </xf>
    <xf numFmtId="4" fontId="15" fillId="2" borderId="10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 wrapText="1"/>
    </xf>
    <xf numFmtId="4" fontId="15" fillId="2" borderId="7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7" xfId="0" applyNumberFormat="1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top"/>
    </xf>
    <xf numFmtId="0" fontId="13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4" fontId="15" fillId="2" borderId="7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86;&#1088;&#1084;&#1072;%2040%20&#1087;&#1086;%20&#1089;&#1086;&#1089;&#1090;&#1086;&#1103;&#1085;&#1080;&#1102;%20&#1085;&#1072;%2028.10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>
        <row r="15">
          <cell r="C15">
            <v>24614046.140000001</v>
          </cell>
        </row>
        <row r="23">
          <cell r="C23">
            <v>24129820.5</v>
          </cell>
        </row>
        <row r="46">
          <cell r="C46">
            <v>25844342.82</v>
          </cell>
        </row>
        <row r="69">
          <cell r="C69">
            <v>29337931.969999999</v>
          </cell>
        </row>
        <row r="111">
          <cell r="C111">
            <v>14943128.18</v>
          </cell>
        </row>
        <row r="151">
          <cell r="C151">
            <v>20199196.170000002</v>
          </cell>
        </row>
        <row r="172">
          <cell r="C172">
            <v>14204529.529999999</v>
          </cell>
        </row>
        <row r="221">
          <cell r="C221">
            <v>760135983.01999998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tabSelected="1" view="pageBreakPreview" zoomScale="46" zoomScaleNormal="61" zoomScaleSheetLayoutView="46" workbookViewId="0">
      <selection activeCell="A10" sqref="A10:M10"/>
    </sheetView>
  </sheetViews>
  <sheetFormatPr defaultRowHeight="15.75" x14ac:dyDescent="0.25"/>
  <cols>
    <col min="1" max="1" width="10.7109375" style="4" customWidth="1"/>
    <col min="2" max="2" width="46.85546875" style="16" customWidth="1"/>
    <col min="3" max="3" width="24.7109375" style="2" customWidth="1"/>
    <col min="4" max="4" width="22.5703125" style="2" customWidth="1"/>
    <col min="5" max="5" width="23" style="2" customWidth="1"/>
    <col min="6" max="6" width="18" style="2" customWidth="1"/>
    <col min="7" max="7" width="29.5703125" style="2" customWidth="1"/>
    <col min="8" max="8" width="22.42578125" style="2" customWidth="1"/>
    <col min="9" max="9" width="24.7109375" style="2" customWidth="1"/>
    <col min="10" max="10" width="21.140625" style="2" customWidth="1"/>
    <col min="11" max="11" width="24.140625" style="2" customWidth="1"/>
    <col min="12" max="12" width="31" style="2" customWidth="1"/>
    <col min="13" max="13" width="19" style="2" customWidth="1"/>
    <col min="14" max="14" width="25.28515625" style="2" customWidth="1"/>
    <col min="15" max="15" width="28.7109375" style="2" customWidth="1"/>
    <col min="16" max="16" width="29" style="2" customWidth="1"/>
    <col min="17" max="16384" width="9.140625" style="2"/>
  </cols>
  <sheetData>
    <row r="1" spans="1:14" ht="23.25" customHeight="1" x14ac:dyDescent="0.25">
      <c r="B1" s="13"/>
      <c r="C1" s="5"/>
      <c r="D1" s="5"/>
      <c r="E1" s="5"/>
      <c r="F1" s="5"/>
      <c r="G1" s="5"/>
      <c r="H1" s="5"/>
      <c r="I1" s="5"/>
      <c r="J1" s="5"/>
    </row>
    <row r="2" spans="1:14" ht="30.75" customHeight="1" x14ac:dyDescent="0.25">
      <c r="B2" s="13"/>
      <c r="C2" s="5"/>
      <c r="D2" s="5"/>
      <c r="L2" s="5"/>
      <c r="M2" s="11" t="s">
        <v>3</v>
      </c>
      <c r="N2" s="11"/>
    </row>
    <row r="3" spans="1:14" ht="33.75" customHeight="1" x14ac:dyDescent="0.25">
      <c r="B3" s="13"/>
      <c r="C3" s="5"/>
      <c r="D3" s="5"/>
      <c r="L3" s="5"/>
      <c r="M3" s="11" t="s">
        <v>4</v>
      </c>
      <c r="N3" s="11"/>
    </row>
    <row r="4" spans="1:14" ht="32.25" customHeight="1" x14ac:dyDescent="0.25">
      <c r="B4" s="13"/>
      <c r="C4" s="5"/>
      <c r="D4" s="5"/>
      <c r="L4" s="5"/>
      <c r="M4" s="11" t="s">
        <v>1</v>
      </c>
      <c r="N4" s="11"/>
    </row>
    <row r="5" spans="1:14" ht="32.25" customHeight="1" x14ac:dyDescent="0.25">
      <c r="B5" s="13"/>
      <c r="C5" s="5"/>
      <c r="D5" s="5"/>
      <c r="L5" s="5"/>
      <c r="M5" s="11" t="s">
        <v>101</v>
      </c>
      <c r="N5" s="11"/>
    </row>
    <row r="6" spans="1:14" ht="23.25" customHeight="1" x14ac:dyDescent="0.25">
      <c r="B6" s="13"/>
      <c r="C6" s="5"/>
      <c r="D6" s="5"/>
      <c r="E6" s="5"/>
      <c r="F6" s="5"/>
      <c r="G6" s="5"/>
      <c r="H6" s="5"/>
      <c r="I6" s="5"/>
      <c r="J6" s="5"/>
    </row>
    <row r="7" spans="1:14" ht="23.25" customHeight="1" x14ac:dyDescent="0.25">
      <c r="B7" s="13"/>
      <c r="C7" s="5"/>
      <c r="D7" s="5"/>
      <c r="E7" s="5"/>
      <c r="F7" s="5"/>
      <c r="G7" s="5"/>
      <c r="H7" s="5"/>
      <c r="I7" s="5"/>
      <c r="J7" s="5"/>
    </row>
    <row r="8" spans="1:14" s="6" customFormat="1" ht="23.25" customHeight="1" x14ac:dyDescent="0.25">
      <c r="A8" s="158" t="s">
        <v>9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4" s="6" customFormat="1" ht="23.25" customHeight="1" x14ac:dyDescent="0.25">
      <c r="A9" s="158" t="s">
        <v>67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4" s="6" customFormat="1" ht="23.25" customHeight="1" x14ac:dyDescent="0.3">
      <c r="A10" s="160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</row>
    <row r="11" spans="1:14" s="6" customFormat="1" ht="23.25" customHeight="1" x14ac:dyDescent="0.3">
      <c r="A11" s="160" t="s">
        <v>95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</row>
    <row r="12" spans="1:14" s="6" customFormat="1" ht="23.25" customHeight="1" x14ac:dyDescent="0.3">
      <c r="A12" s="4"/>
      <c r="B12" s="34"/>
      <c r="C12" s="34"/>
      <c r="D12" s="34"/>
      <c r="E12" s="34"/>
      <c r="F12" s="34"/>
      <c r="G12" s="35"/>
      <c r="H12" s="67"/>
      <c r="I12" s="67"/>
      <c r="J12" s="67"/>
    </row>
    <row r="13" spans="1:14" s="6" customFormat="1" ht="23.25" customHeight="1" x14ac:dyDescent="0.25">
      <c r="A13" s="4"/>
      <c r="B13" s="19"/>
      <c r="C13" s="19"/>
      <c r="D13" s="19"/>
      <c r="E13" s="19"/>
      <c r="F13" s="19"/>
      <c r="G13" s="19"/>
      <c r="H13" s="19"/>
      <c r="I13" s="19"/>
      <c r="J13" s="19"/>
    </row>
    <row r="14" spans="1:14" s="6" customFormat="1" ht="20.25" customHeight="1" x14ac:dyDescent="0.25">
      <c r="A14" s="4"/>
      <c r="B14" s="14"/>
      <c r="C14" s="12"/>
      <c r="D14" s="12"/>
      <c r="E14" s="12"/>
      <c r="F14" s="12"/>
      <c r="G14" s="19"/>
      <c r="H14" s="19"/>
      <c r="I14" s="19"/>
      <c r="J14" s="19"/>
    </row>
    <row r="15" spans="1:14" s="27" customFormat="1" ht="34.5" customHeight="1" x14ac:dyDescent="0.3">
      <c r="A15" s="159" t="s">
        <v>22</v>
      </c>
      <c r="B15" s="159" t="s">
        <v>23</v>
      </c>
      <c r="C15" s="159" t="s">
        <v>21</v>
      </c>
      <c r="D15" s="159" t="s">
        <v>0</v>
      </c>
      <c r="E15" s="159"/>
      <c r="F15" s="159"/>
      <c r="G15" s="159"/>
      <c r="H15" s="161" t="s">
        <v>73</v>
      </c>
      <c r="I15" s="162"/>
      <c r="J15" s="163"/>
      <c r="K15" s="159" t="s">
        <v>0</v>
      </c>
      <c r="L15" s="159"/>
      <c r="M15" s="159"/>
      <c r="N15" s="168" t="s">
        <v>70</v>
      </c>
    </row>
    <row r="16" spans="1:14" s="27" customFormat="1" ht="77.25" customHeight="1" x14ac:dyDescent="0.3">
      <c r="A16" s="159"/>
      <c r="B16" s="159"/>
      <c r="C16" s="159"/>
      <c r="D16" s="159" t="s">
        <v>50</v>
      </c>
      <c r="E16" s="159" t="s">
        <v>65</v>
      </c>
      <c r="F16" s="159"/>
      <c r="G16" s="159" t="s">
        <v>52</v>
      </c>
      <c r="H16" s="159" t="s">
        <v>50</v>
      </c>
      <c r="I16" s="159" t="s">
        <v>65</v>
      </c>
      <c r="J16" s="159"/>
      <c r="K16" s="159" t="s">
        <v>50</v>
      </c>
      <c r="L16" s="159" t="s">
        <v>66</v>
      </c>
      <c r="M16" s="159"/>
      <c r="N16" s="169"/>
    </row>
    <row r="17" spans="1:17" s="27" customFormat="1" ht="106.5" customHeight="1" x14ac:dyDescent="0.3">
      <c r="A17" s="159"/>
      <c r="B17" s="159"/>
      <c r="C17" s="159"/>
      <c r="D17" s="159"/>
      <c r="E17" s="44" t="s">
        <v>29</v>
      </c>
      <c r="F17" s="44" t="s">
        <v>28</v>
      </c>
      <c r="G17" s="159"/>
      <c r="H17" s="159"/>
      <c r="I17" s="69" t="s">
        <v>29</v>
      </c>
      <c r="J17" s="69" t="s">
        <v>28</v>
      </c>
      <c r="K17" s="159"/>
      <c r="L17" s="44" t="s">
        <v>29</v>
      </c>
      <c r="M17" s="44" t="s">
        <v>28</v>
      </c>
      <c r="N17" s="170"/>
    </row>
    <row r="18" spans="1:17" s="27" customFormat="1" ht="24.75" customHeight="1" x14ac:dyDescent="0.3">
      <c r="A18" s="20">
        <v>1</v>
      </c>
      <c r="B18" s="44">
        <f>A18+1</f>
        <v>2</v>
      </c>
      <c r="C18" s="44">
        <f t="shared" ref="C18:F18" si="0">B18+1</f>
        <v>3</v>
      </c>
      <c r="D18" s="44">
        <f t="shared" si="0"/>
        <v>4</v>
      </c>
      <c r="E18" s="44">
        <f t="shared" si="0"/>
        <v>5</v>
      </c>
      <c r="F18" s="44">
        <f t="shared" si="0"/>
        <v>6</v>
      </c>
      <c r="G18" s="44">
        <v>7</v>
      </c>
      <c r="H18" s="69">
        <v>8</v>
      </c>
      <c r="I18" s="69">
        <v>9</v>
      </c>
      <c r="J18" s="69">
        <v>10</v>
      </c>
      <c r="K18" s="44">
        <v>11</v>
      </c>
      <c r="L18" s="44">
        <v>12</v>
      </c>
      <c r="M18" s="44">
        <v>13</v>
      </c>
      <c r="N18" s="131">
        <v>14</v>
      </c>
    </row>
    <row r="19" spans="1:17" ht="27" customHeight="1" x14ac:dyDescent="0.25">
      <c r="A19" s="171" t="s">
        <v>17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</row>
    <row r="20" spans="1:17" s="7" customFormat="1" ht="27" customHeight="1" x14ac:dyDescent="0.2">
      <c r="A20" s="172" t="s">
        <v>6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</row>
    <row r="21" spans="1:17" s="7" customFormat="1" ht="51.75" customHeight="1" x14ac:dyDescent="0.2">
      <c r="A21" s="20">
        <v>1</v>
      </c>
      <c r="B21" s="36" t="s">
        <v>53</v>
      </c>
      <c r="C21" s="167">
        <f>D21+H21+K21+N21</f>
        <v>22225704.82</v>
      </c>
      <c r="D21" s="167">
        <f>SUM(E21:G25)</f>
        <v>7010851.7400000002</v>
      </c>
      <c r="E21" s="167">
        <f>7023421.84-12640.21</f>
        <v>7010781.6299999999</v>
      </c>
      <c r="F21" s="167">
        <f>70.23-0.12</f>
        <v>70.11</v>
      </c>
      <c r="G21" s="167">
        <v>0</v>
      </c>
      <c r="H21" s="146">
        <f>SUM(I21:J25)</f>
        <v>15214853.080000002</v>
      </c>
      <c r="I21" s="146">
        <f>16878958.03-1664257.1</f>
        <v>15214700.930000002</v>
      </c>
      <c r="J21" s="146">
        <f>168.83-16.68</f>
        <v>152.15</v>
      </c>
      <c r="K21" s="174">
        <f>SUM(L21:M25)</f>
        <v>0</v>
      </c>
      <c r="L21" s="174">
        <v>0</v>
      </c>
      <c r="M21" s="174">
        <v>0</v>
      </c>
      <c r="N21" s="174">
        <v>0</v>
      </c>
      <c r="O21" s="7">
        <v>23902618.929999996</v>
      </c>
    </row>
    <row r="22" spans="1:17" s="7" customFormat="1" ht="43.5" customHeight="1" x14ac:dyDescent="0.2">
      <c r="A22" s="20">
        <v>2</v>
      </c>
      <c r="B22" s="30" t="s">
        <v>54</v>
      </c>
      <c r="C22" s="167"/>
      <c r="D22" s="167"/>
      <c r="E22" s="167"/>
      <c r="F22" s="167"/>
      <c r="G22" s="167"/>
      <c r="H22" s="147"/>
      <c r="I22" s="147"/>
      <c r="J22" s="147"/>
      <c r="K22" s="174"/>
      <c r="L22" s="174"/>
      <c r="M22" s="174"/>
      <c r="N22" s="174"/>
      <c r="O22" s="83">
        <f>O21-C21</f>
        <v>1676914.1099999957</v>
      </c>
      <c r="P22" s="81"/>
    </row>
    <row r="23" spans="1:17" s="7" customFormat="1" ht="51.75" customHeight="1" x14ac:dyDescent="0.2">
      <c r="A23" s="20">
        <v>3</v>
      </c>
      <c r="B23" s="36" t="s">
        <v>31</v>
      </c>
      <c r="C23" s="167"/>
      <c r="D23" s="167"/>
      <c r="E23" s="167"/>
      <c r="F23" s="167"/>
      <c r="G23" s="167"/>
      <c r="H23" s="147"/>
      <c r="I23" s="147"/>
      <c r="J23" s="147"/>
      <c r="K23" s="174"/>
      <c r="L23" s="174"/>
      <c r="M23" s="174"/>
      <c r="N23" s="174"/>
      <c r="O23" s="83"/>
      <c r="P23" s="83"/>
      <c r="Q23" s="81"/>
    </row>
    <row r="24" spans="1:17" s="7" customFormat="1" ht="47.25" customHeight="1" x14ac:dyDescent="0.2">
      <c r="A24" s="20">
        <v>4</v>
      </c>
      <c r="B24" s="36" t="s">
        <v>32</v>
      </c>
      <c r="C24" s="167"/>
      <c r="D24" s="167"/>
      <c r="E24" s="167"/>
      <c r="F24" s="167"/>
      <c r="G24" s="167"/>
      <c r="H24" s="147"/>
      <c r="I24" s="147"/>
      <c r="J24" s="147"/>
      <c r="K24" s="174"/>
      <c r="L24" s="174"/>
      <c r="M24" s="174"/>
      <c r="N24" s="174"/>
      <c r="O24" s="83"/>
      <c r="P24" s="83"/>
    </row>
    <row r="25" spans="1:17" s="7" customFormat="1" ht="51.75" customHeight="1" x14ac:dyDescent="0.2">
      <c r="A25" s="20">
        <v>5</v>
      </c>
      <c r="B25" s="36" t="s">
        <v>33</v>
      </c>
      <c r="C25" s="167"/>
      <c r="D25" s="167"/>
      <c r="E25" s="167"/>
      <c r="F25" s="167"/>
      <c r="G25" s="167"/>
      <c r="H25" s="148"/>
      <c r="I25" s="148"/>
      <c r="J25" s="148"/>
      <c r="K25" s="174"/>
      <c r="L25" s="174"/>
      <c r="M25" s="174"/>
      <c r="N25" s="174"/>
      <c r="O25" s="83"/>
      <c r="P25" s="83"/>
    </row>
    <row r="26" spans="1:17" s="7" customFormat="1" ht="51.75" customHeight="1" x14ac:dyDescent="0.2">
      <c r="A26" s="20"/>
      <c r="B26" s="33" t="s">
        <v>82</v>
      </c>
      <c r="C26" s="134">
        <f>D26+G26+H26+K26+N26</f>
        <v>2000</v>
      </c>
      <c r="D26" s="134">
        <f>SUM(E26:G26)</f>
        <v>0</v>
      </c>
      <c r="E26" s="134">
        <v>0</v>
      </c>
      <c r="F26" s="134">
        <v>0</v>
      </c>
      <c r="G26" s="134">
        <v>0</v>
      </c>
      <c r="H26" s="134">
        <f>SUM(I26:J26)</f>
        <v>0</v>
      </c>
      <c r="I26" s="134">
        <v>0</v>
      </c>
      <c r="J26" s="134">
        <v>0</v>
      </c>
      <c r="K26" s="134">
        <f>SUM(L26:M26)</f>
        <v>0</v>
      </c>
      <c r="L26" s="134">
        <v>0</v>
      </c>
      <c r="M26" s="134">
        <v>0</v>
      </c>
      <c r="N26" s="134">
        <v>2000</v>
      </c>
      <c r="O26" s="83"/>
      <c r="P26" s="83"/>
    </row>
    <row r="27" spans="1:17" s="7" customFormat="1" ht="51.75" customHeight="1" x14ac:dyDescent="0.2">
      <c r="A27" s="20"/>
      <c r="B27" s="30" t="s">
        <v>74</v>
      </c>
      <c r="C27" s="134">
        <f>D27+G27+H27+K27+N27</f>
        <v>35000</v>
      </c>
      <c r="D27" s="134">
        <f>SUM(E27:G27)</f>
        <v>0</v>
      </c>
      <c r="E27" s="139">
        <v>0</v>
      </c>
      <c r="F27" s="139">
        <v>0</v>
      </c>
      <c r="G27" s="139">
        <v>0</v>
      </c>
      <c r="H27" s="134">
        <f>SUM(I27:J27)</f>
        <v>0</v>
      </c>
      <c r="I27" s="134">
        <v>0</v>
      </c>
      <c r="J27" s="134">
        <v>0</v>
      </c>
      <c r="K27" s="134">
        <f>SUM(L27:M27)</f>
        <v>0</v>
      </c>
      <c r="L27" s="138">
        <v>0</v>
      </c>
      <c r="M27" s="138">
        <v>0</v>
      </c>
      <c r="N27" s="138">
        <v>35000</v>
      </c>
      <c r="O27" s="83"/>
      <c r="P27" s="83"/>
    </row>
    <row r="28" spans="1:17" s="7" customFormat="1" ht="51.75" customHeight="1" x14ac:dyDescent="0.2">
      <c r="A28" s="20"/>
      <c r="B28" s="30" t="s">
        <v>5</v>
      </c>
      <c r="C28" s="43">
        <f>SUM(C21:C27)</f>
        <v>22262704.82</v>
      </c>
      <c r="D28" s="139">
        <f t="shared" ref="D28:N28" si="1">SUM(D21:D27)</f>
        <v>7010851.7400000002</v>
      </c>
      <c r="E28" s="139">
        <f t="shared" si="1"/>
        <v>7010781.6299999999</v>
      </c>
      <c r="F28" s="139">
        <f t="shared" si="1"/>
        <v>70.11</v>
      </c>
      <c r="G28" s="139">
        <f t="shared" si="1"/>
        <v>0</v>
      </c>
      <c r="H28" s="139">
        <f t="shared" si="1"/>
        <v>15214853.080000002</v>
      </c>
      <c r="I28" s="139">
        <f t="shared" si="1"/>
        <v>15214700.930000002</v>
      </c>
      <c r="J28" s="139">
        <f t="shared" si="1"/>
        <v>152.15</v>
      </c>
      <c r="K28" s="139">
        <f t="shared" si="1"/>
        <v>0</v>
      </c>
      <c r="L28" s="139">
        <f t="shared" si="1"/>
        <v>0</v>
      </c>
      <c r="M28" s="139">
        <f t="shared" si="1"/>
        <v>0</v>
      </c>
      <c r="N28" s="139">
        <f t="shared" si="1"/>
        <v>37000</v>
      </c>
      <c r="O28" s="81"/>
      <c r="P28" s="81"/>
    </row>
    <row r="29" spans="1:17" s="7" customFormat="1" ht="27" customHeight="1" x14ac:dyDescent="0.2">
      <c r="A29" s="171" t="s">
        <v>7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81"/>
    </row>
    <row r="30" spans="1:17" s="7" customFormat="1" ht="36.75" customHeight="1" x14ac:dyDescent="0.2">
      <c r="A30" s="53">
        <v>1</v>
      </c>
      <c r="B30" s="54" t="s">
        <v>34</v>
      </c>
      <c r="C30" s="146">
        <f>D30+H30+K30+N30</f>
        <v>25652141.25</v>
      </c>
      <c r="D30" s="146">
        <f>SUM(E30:G33)</f>
        <v>13786531.649999999</v>
      </c>
      <c r="E30" s="146">
        <v>13786393.779999999</v>
      </c>
      <c r="F30" s="146">
        <v>137.87</v>
      </c>
      <c r="G30" s="146">
        <v>0</v>
      </c>
      <c r="H30" s="146">
        <f>SUM(I30:J31)</f>
        <v>11865609.600000001</v>
      </c>
      <c r="I30" s="146">
        <v>11865490.940000001</v>
      </c>
      <c r="J30" s="146">
        <v>118.66</v>
      </c>
      <c r="K30" s="146">
        <f>SUM(L30:M33)</f>
        <v>0</v>
      </c>
      <c r="L30" s="146">
        <v>0</v>
      </c>
      <c r="M30" s="146">
        <v>0</v>
      </c>
      <c r="N30" s="146">
        <v>0</v>
      </c>
    </row>
    <row r="31" spans="1:17" s="7" customFormat="1" ht="36.75" customHeight="1" x14ac:dyDescent="0.2">
      <c r="A31" s="21">
        <v>2</v>
      </c>
      <c r="B31" s="33" t="s">
        <v>35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84"/>
      <c r="P31" s="84"/>
    </row>
    <row r="32" spans="1:17" s="7" customFormat="1" ht="36.75" customHeight="1" x14ac:dyDescent="0.2">
      <c r="A32" s="21">
        <v>3</v>
      </c>
      <c r="B32" s="33" t="s">
        <v>51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84"/>
      <c r="P32" s="84"/>
    </row>
    <row r="33" spans="1:16" s="7" customFormat="1" ht="36.75" customHeight="1" x14ac:dyDescent="0.2">
      <c r="A33" s="21">
        <v>4</v>
      </c>
      <c r="B33" s="33" t="s">
        <v>61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84"/>
      <c r="P33" s="102"/>
    </row>
    <row r="34" spans="1:16" s="7" customFormat="1" ht="36.75" customHeight="1" x14ac:dyDescent="0.2">
      <c r="A34" s="21"/>
      <c r="B34" s="33" t="s">
        <v>82</v>
      </c>
      <c r="C34" s="126">
        <f>D34+G34+H34+K34+N34</f>
        <v>2000</v>
      </c>
      <c r="D34" s="126">
        <v>0</v>
      </c>
      <c r="E34" s="126">
        <v>0</v>
      </c>
      <c r="F34" s="126">
        <v>0</v>
      </c>
      <c r="G34" s="126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0</v>
      </c>
      <c r="N34" s="128">
        <v>2000</v>
      </c>
      <c r="O34" s="84"/>
      <c r="P34" s="102"/>
    </row>
    <row r="35" spans="1:16" s="7" customFormat="1" ht="42" customHeight="1" x14ac:dyDescent="0.2">
      <c r="A35" s="22"/>
      <c r="B35" s="28" t="s">
        <v>8</v>
      </c>
      <c r="C35" s="43">
        <f>SUM(C30:C34)</f>
        <v>25654141.25</v>
      </c>
      <c r="D35" s="72">
        <f t="shared" ref="D35:M35" si="2">SUM(D30:D33)</f>
        <v>13786531.649999999</v>
      </c>
      <c r="E35" s="72">
        <f t="shared" si="2"/>
        <v>13786393.779999999</v>
      </c>
      <c r="F35" s="72">
        <f t="shared" si="2"/>
        <v>137.87</v>
      </c>
      <c r="G35" s="72">
        <f t="shared" si="2"/>
        <v>0</v>
      </c>
      <c r="H35" s="72">
        <f t="shared" si="2"/>
        <v>11865609.600000001</v>
      </c>
      <c r="I35" s="72">
        <f t="shared" si="2"/>
        <v>11865490.940000001</v>
      </c>
      <c r="J35" s="72">
        <f>SUM(J30:J33)</f>
        <v>118.66</v>
      </c>
      <c r="K35" s="72">
        <f ca="1">SUM(K30:K35)</f>
        <v>0</v>
      </c>
      <c r="L35" s="72">
        <f t="shared" si="2"/>
        <v>0</v>
      </c>
      <c r="M35" s="72">
        <f t="shared" si="2"/>
        <v>0</v>
      </c>
      <c r="N35" s="133">
        <v>2000</v>
      </c>
      <c r="O35" s="84"/>
      <c r="P35" s="84"/>
    </row>
    <row r="36" spans="1:16" s="7" customFormat="1" ht="27" customHeight="1" x14ac:dyDescent="0.2">
      <c r="A36" s="164" t="s">
        <v>10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6"/>
      <c r="O36" s="84"/>
      <c r="P36" s="84"/>
    </row>
    <row r="37" spans="1:16" s="7" customFormat="1" ht="36.75" customHeight="1" x14ac:dyDescent="0.2">
      <c r="A37" s="23">
        <v>1</v>
      </c>
      <c r="B37" s="30" t="s">
        <v>36</v>
      </c>
      <c r="C37" s="146">
        <f>D37+H37+K37+N37</f>
        <v>26952830.399999999</v>
      </c>
      <c r="D37" s="146">
        <f>SUM(E37:G43)</f>
        <v>12749828.4</v>
      </c>
      <c r="E37" s="146">
        <f>13000974.99-251274.09</f>
        <v>12749700.9</v>
      </c>
      <c r="F37" s="146">
        <f>130.01-2.51</f>
        <v>127.49999999999999</v>
      </c>
      <c r="G37" s="146">
        <v>0</v>
      </c>
      <c r="H37" s="146">
        <f>SUM(I37:J43)</f>
        <v>14203001.999999998</v>
      </c>
      <c r="I37" s="146">
        <f>15088604.11-885744.14</f>
        <v>14202859.969999999</v>
      </c>
      <c r="J37" s="146">
        <f>150.89-8.86</f>
        <v>142.02999999999997</v>
      </c>
      <c r="K37" s="157">
        <f>SUM(L37:M43)</f>
        <v>0</v>
      </c>
      <c r="L37" s="157">
        <v>0</v>
      </c>
      <c r="M37" s="157">
        <v>0</v>
      </c>
      <c r="N37" s="157">
        <v>0</v>
      </c>
      <c r="O37" s="84"/>
      <c r="P37" s="103"/>
    </row>
    <row r="38" spans="1:16" s="7" customFormat="1" ht="36.75" customHeight="1" x14ac:dyDescent="0.2">
      <c r="A38" s="23">
        <v>2</v>
      </c>
      <c r="B38" s="30" t="s">
        <v>37</v>
      </c>
      <c r="C38" s="148"/>
      <c r="D38" s="148"/>
      <c r="E38" s="148"/>
      <c r="F38" s="148"/>
      <c r="G38" s="148"/>
      <c r="H38" s="148"/>
      <c r="I38" s="148"/>
      <c r="J38" s="148"/>
      <c r="K38" s="142"/>
      <c r="L38" s="142"/>
      <c r="M38" s="142"/>
      <c r="N38" s="142"/>
      <c r="O38" s="84"/>
      <c r="P38" s="103"/>
    </row>
    <row r="39" spans="1:16" s="7" customFormat="1" ht="36.75" customHeight="1" x14ac:dyDescent="0.2">
      <c r="A39" s="55">
        <v>3</v>
      </c>
      <c r="B39" s="91" t="s">
        <v>55</v>
      </c>
      <c r="C39" s="87"/>
      <c r="D39" s="87"/>
      <c r="E39" s="87"/>
      <c r="F39" s="87"/>
      <c r="G39" s="87"/>
      <c r="H39" s="87"/>
      <c r="I39" s="87"/>
      <c r="J39" s="87"/>
      <c r="K39" s="88"/>
      <c r="L39" s="88"/>
      <c r="M39" s="88"/>
      <c r="N39" s="88"/>
      <c r="O39" s="102"/>
      <c r="P39" s="102"/>
    </row>
    <row r="40" spans="1:16" s="7" customFormat="1" ht="36.75" customHeight="1" x14ac:dyDescent="0.2">
      <c r="A40" s="23">
        <v>4</v>
      </c>
      <c r="B40" s="30" t="s">
        <v>38</v>
      </c>
      <c r="C40" s="48"/>
      <c r="D40" s="48"/>
      <c r="E40" s="48"/>
      <c r="F40" s="48"/>
      <c r="G40" s="48"/>
      <c r="H40" s="48"/>
      <c r="I40" s="48"/>
      <c r="J40" s="48"/>
      <c r="K40" s="89"/>
      <c r="L40" s="89"/>
      <c r="M40" s="89"/>
      <c r="N40" s="89"/>
      <c r="O40" s="84"/>
      <c r="P40" s="84"/>
    </row>
    <row r="41" spans="1:16" s="7" customFormat="1" ht="36.75" customHeight="1" x14ac:dyDescent="0.2">
      <c r="A41" s="23">
        <v>5</v>
      </c>
      <c r="B41" s="30" t="s">
        <v>56</v>
      </c>
      <c r="C41" s="48"/>
      <c r="D41" s="48"/>
      <c r="E41" s="48"/>
      <c r="F41" s="48"/>
      <c r="G41" s="48"/>
      <c r="H41" s="48"/>
      <c r="I41" s="48"/>
      <c r="J41" s="48"/>
      <c r="K41" s="89"/>
      <c r="L41" s="89"/>
      <c r="M41" s="89"/>
      <c r="N41" s="89"/>
      <c r="O41" s="102"/>
      <c r="P41" s="102"/>
    </row>
    <row r="42" spans="1:16" s="7" customFormat="1" ht="36.75" customHeight="1" x14ac:dyDescent="0.2">
      <c r="A42" s="23">
        <v>6</v>
      </c>
      <c r="B42" s="30" t="s">
        <v>39</v>
      </c>
      <c r="C42" s="48"/>
      <c r="D42" s="48"/>
      <c r="E42" s="48"/>
      <c r="F42" s="48"/>
      <c r="G42" s="48"/>
      <c r="H42" s="48"/>
      <c r="I42" s="48"/>
      <c r="J42" s="48"/>
      <c r="K42" s="89"/>
      <c r="L42" s="89"/>
      <c r="M42" s="89"/>
      <c r="N42" s="89"/>
      <c r="O42" s="102"/>
      <c r="P42" s="102"/>
    </row>
    <row r="43" spans="1:16" s="7" customFormat="1" ht="36.75" customHeight="1" x14ac:dyDescent="0.2">
      <c r="A43" s="23">
        <v>7</v>
      </c>
      <c r="B43" s="30" t="s">
        <v>40</v>
      </c>
      <c r="C43" s="49"/>
      <c r="D43" s="49"/>
      <c r="E43" s="49"/>
      <c r="F43" s="49"/>
      <c r="G43" s="49"/>
      <c r="H43" s="49"/>
      <c r="I43" s="49"/>
      <c r="J43" s="49"/>
      <c r="K43" s="90"/>
      <c r="L43" s="90"/>
      <c r="M43" s="90"/>
      <c r="N43" s="90"/>
      <c r="O43" s="102"/>
      <c r="P43" s="102"/>
    </row>
    <row r="44" spans="1:16" s="7" customFormat="1" ht="82.5" customHeight="1" x14ac:dyDescent="0.2">
      <c r="A44" s="23"/>
      <c r="B44" s="30" t="s">
        <v>74</v>
      </c>
      <c r="C44" s="68">
        <f>D44+H44+K44+N44</f>
        <v>34000</v>
      </c>
      <c r="D44" s="68">
        <f>SUM(E44:G44)</f>
        <v>0</v>
      </c>
      <c r="E44" s="68">
        <v>0</v>
      </c>
      <c r="F44" s="68">
        <v>0</v>
      </c>
      <c r="G44" s="68">
        <v>0</v>
      </c>
      <c r="H44" s="60">
        <f>SUM(I44:J44)</f>
        <v>0</v>
      </c>
      <c r="I44" s="60">
        <v>0</v>
      </c>
      <c r="J44" s="60">
        <v>0</v>
      </c>
      <c r="K44" s="66">
        <f>SUM(L44:M44)</f>
        <v>0</v>
      </c>
      <c r="L44" s="66">
        <v>0</v>
      </c>
      <c r="M44" s="66">
        <v>0</v>
      </c>
      <c r="N44" s="132">
        <v>34000</v>
      </c>
      <c r="O44" s="102"/>
      <c r="P44" s="102"/>
    </row>
    <row r="45" spans="1:16" s="7" customFormat="1" ht="36.75" customHeight="1" x14ac:dyDescent="0.2">
      <c r="A45" s="50"/>
      <c r="B45" s="28" t="s">
        <v>11</v>
      </c>
      <c r="C45" s="50">
        <f>SUM(C37:C44)</f>
        <v>26986830.399999999</v>
      </c>
      <c r="D45" s="68">
        <f t="shared" ref="D45:N45" si="3">SUM(D37:D44)</f>
        <v>12749828.4</v>
      </c>
      <c r="E45" s="68">
        <f t="shared" si="3"/>
        <v>12749700.9</v>
      </c>
      <c r="F45" s="68">
        <f t="shared" si="3"/>
        <v>127.49999999999999</v>
      </c>
      <c r="G45" s="68">
        <f t="shared" si="3"/>
        <v>0</v>
      </c>
      <c r="H45" s="68">
        <f t="shared" si="3"/>
        <v>14203001.999999998</v>
      </c>
      <c r="I45" s="68">
        <f t="shared" si="3"/>
        <v>14202859.969999999</v>
      </c>
      <c r="J45" s="68">
        <f t="shared" si="3"/>
        <v>142.02999999999997</v>
      </c>
      <c r="K45" s="68">
        <f t="shared" si="3"/>
        <v>0</v>
      </c>
      <c r="L45" s="68">
        <f t="shared" si="3"/>
        <v>0</v>
      </c>
      <c r="M45" s="68">
        <f t="shared" si="3"/>
        <v>0</v>
      </c>
      <c r="N45" s="133">
        <f t="shared" si="3"/>
        <v>34000</v>
      </c>
      <c r="O45" s="84"/>
      <c r="P45" s="84"/>
    </row>
    <row r="46" spans="1:16" s="7" customFormat="1" ht="27" customHeight="1" x14ac:dyDescent="0.2">
      <c r="A46" s="164" t="s">
        <v>12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6"/>
      <c r="O46" s="102"/>
      <c r="P46" s="102"/>
    </row>
    <row r="47" spans="1:16" s="7" customFormat="1" ht="32.25" customHeight="1" x14ac:dyDescent="0.2">
      <c r="A47" s="23">
        <v>1</v>
      </c>
      <c r="B47" s="29" t="s">
        <v>58</v>
      </c>
      <c r="C47" s="167">
        <f>D47+H47+K47+N47</f>
        <v>12143700.48</v>
      </c>
      <c r="D47" s="167">
        <f>SUM(E47:G52)</f>
        <v>2492310.4800000004</v>
      </c>
      <c r="E47" s="167">
        <f>3302129.18-1250839.21</f>
        <v>2051289.9700000002</v>
      </c>
      <c r="F47" s="167">
        <f>33.03-12.52</f>
        <v>20.51</v>
      </c>
      <c r="G47" s="167">
        <f>441000</f>
        <v>441000</v>
      </c>
      <c r="H47" s="146">
        <f>SUM(I47:J52)</f>
        <v>9651390</v>
      </c>
      <c r="I47" s="146">
        <f>10197670.82-546377.33</f>
        <v>9651293.4900000002</v>
      </c>
      <c r="J47" s="146">
        <f>101.98-5.47</f>
        <v>96.51</v>
      </c>
      <c r="K47" s="143">
        <f>SUM(L47:M52)</f>
        <v>0</v>
      </c>
      <c r="L47" s="143">
        <v>0</v>
      </c>
      <c r="M47" s="143">
        <v>0</v>
      </c>
      <c r="N47" s="143">
        <v>0</v>
      </c>
      <c r="O47" s="102">
        <v>13940935.01</v>
      </c>
      <c r="P47" s="102"/>
    </row>
    <row r="48" spans="1:16" s="7" customFormat="1" ht="27" customHeight="1" x14ac:dyDescent="0.2">
      <c r="A48" s="23">
        <v>2</v>
      </c>
      <c r="B48" s="29" t="s">
        <v>41</v>
      </c>
      <c r="C48" s="167"/>
      <c r="D48" s="167"/>
      <c r="E48" s="167"/>
      <c r="F48" s="167"/>
      <c r="G48" s="167"/>
      <c r="H48" s="147"/>
      <c r="I48" s="147"/>
      <c r="J48" s="147"/>
      <c r="K48" s="143"/>
      <c r="L48" s="143"/>
      <c r="M48" s="143"/>
      <c r="N48" s="143"/>
      <c r="O48" s="102"/>
      <c r="P48" s="102"/>
    </row>
    <row r="49" spans="1:17" s="7" customFormat="1" ht="27" customHeight="1" x14ac:dyDescent="0.2">
      <c r="A49" s="23">
        <v>3</v>
      </c>
      <c r="B49" s="29" t="s">
        <v>42</v>
      </c>
      <c r="C49" s="167"/>
      <c r="D49" s="167"/>
      <c r="E49" s="167"/>
      <c r="F49" s="167"/>
      <c r="G49" s="167"/>
      <c r="H49" s="147"/>
      <c r="I49" s="147"/>
      <c r="J49" s="147"/>
      <c r="K49" s="143"/>
      <c r="L49" s="143"/>
      <c r="M49" s="143"/>
      <c r="N49" s="143"/>
      <c r="O49" s="84"/>
      <c r="P49" s="103"/>
      <c r="Q49" s="102"/>
    </row>
    <row r="50" spans="1:17" s="7" customFormat="1" ht="27" customHeight="1" x14ac:dyDescent="0.2">
      <c r="A50" s="23">
        <v>4</v>
      </c>
      <c r="B50" s="29" t="s">
        <v>43</v>
      </c>
      <c r="C50" s="167"/>
      <c r="D50" s="167"/>
      <c r="E50" s="167"/>
      <c r="F50" s="167"/>
      <c r="G50" s="167"/>
      <c r="H50" s="147"/>
      <c r="I50" s="147"/>
      <c r="J50" s="147"/>
      <c r="K50" s="143"/>
      <c r="L50" s="143"/>
      <c r="M50" s="143"/>
      <c r="N50" s="143"/>
      <c r="O50" s="84"/>
      <c r="P50" s="84"/>
      <c r="Q50" s="102"/>
    </row>
    <row r="51" spans="1:17" s="7" customFormat="1" ht="27" customHeight="1" x14ac:dyDescent="0.2">
      <c r="A51" s="23">
        <v>5</v>
      </c>
      <c r="B51" s="29" t="s">
        <v>44</v>
      </c>
      <c r="C51" s="167"/>
      <c r="D51" s="167"/>
      <c r="E51" s="167"/>
      <c r="F51" s="167"/>
      <c r="G51" s="167"/>
      <c r="H51" s="147"/>
      <c r="I51" s="147"/>
      <c r="J51" s="147"/>
      <c r="K51" s="143"/>
      <c r="L51" s="143"/>
      <c r="M51" s="143"/>
      <c r="N51" s="143"/>
      <c r="O51" s="84"/>
      <c r="P51" s="102"/>
      <c r="Q51" s="102"/>
    </row>
    <row r="52" spans="1:17" s="7" customFormat="1" ht="83.25" customHeight="1" x14ac:dyDescent="0.2">
      <c r="A52" s="23">
        <v>6</v>
      </c>
      <c r="B52" s="30" t="s">
        <v>57</v>
      </c>
      <c r="C52" s="167"/>
      <c r="D52" s="167"/>
      <c r="E52" s="167"/>
      <c r="F52" s="167"/>
      <c r="G52" s="167"/>
      <c r="H52" s="148"/>
      <c r="I52" s="148"/>
      <c r="J52" s="148"/>
      <c r="K52" s="143"/>
      <c r="L52" s="143"/>
      <c r="M52" s="143"/>
      <c r="N52" s="143"/>
      <c r="O52" s="84"/>
      <c r="P52" s="102"/>
      <c r="Q52" s="102"/>
    </row>
    <row r="53" spans="1:17" s="7" customFormat="1" ht="83.25" customHeight="1" x14ac:dyDescent="0.2">
      <c r="A53" s="23"/>
      <c r="B53" s="30" t="s">
        <v>74</v>
      </c>
      <c r="C53" s="68">
        <f>D53+H53+K53+N53</f>
        <v>10000</v>
      </c>
      <c r="D53" s="68">
        <f>SUM(E53:G53)</f>
        <v>0</v>
      </c>
      <c r="E53" s="68">
        <v>0</v>
      </c>
      <c r="F53" s="68">
        <v>0</v>
      </c>
      <c r="G53" s="68">
        <v>0</v>
      </c>
      <c r="H53" s="60">
        <f>SUM(I53:J53)</f>
        <v>0</v>
      </c>
      <c r="I53" s="60">
        <v>0</v>
      </c>
      <c r="J53" s="60">
        <v>0</v>
      </c>
      <c r="K53" s="66">
        <f>SUM(L53:M53)</f>
        <v>0</v>
      </c>
      <c r="L53" s="66">
        <v>0</v>
      </c>
      <c r="M53" s="66">
        <v>0</v>
      </c>
      <c r="N53" s="132">
        <v>10000</v>
      </c>
    </row>
    <row r="54" spans="1:17" s="7" customFormat="1" ht="27" customHeight="1" x14ac:dyDescent="0.2">
      <c r="A54" s="43"/>
      <c r="B54" s="28" t="s">
        <v>13</v>
      </c>
      <c r="C54" s="43">
        <f>SUM(C47:C53)</f>
        <v>12153700.48</v>
      </c>
      <c r="D54" s="72">
        <f>SUM(D47:D53)</f>
        <v>2492310.4800000004</v>
      </c>
      <c r="E54" s="72">
        <f t="shared" ref="E54:N54" si="4">SUM(E47:E53)</f>
        <v>2051289.9700000002</v>
      </c>
      <c r="F54" s="72">
        <f t="shared" si="4"/>
        <v>20.51</v>
      </c>
      <c r="G54" s="72">
        <f t="shared" si="4"/>
        <v>441000</v>
      </c>
      <c r="H54" s="72">
        <f t="shared" si="4"/>
        <v>9651390</v>
      </c>
      <c r="I54" s="72">
        <f t="shared" si="4"/>
        <v>9651293.4900000002</v>
      </c>
      <c r="J54" s="72">
        <f t="shared" si="4"/>
        <v>96.51</v>
      </c>
      <c r="K54" s="72">
        <f t="shared" si="4"/>
        <v>0</v>
      </c>
      <c r="L54" s="72">
        <f t="shared" si="4"/>
        <v>0</v>
      </c>
      <c r="M54" s="72">
        <f t="shared" si="4"/>
        <v>0</v>
      </c>
      <c r="N54" s="133">
        <f t="shared" si="4"/>
        <v>10000</v>
      </c>
      <c r="O54" s="81"/>
      <c r="P54" s="81"/>
    </row>
    <row r="55" spans="1:17" s="7" customFormat="1" ht="27" customHeight="1" x14ac:dyDescent="0.2">
      <c r="A55" s="164" t="s">
        <v>14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6"/>
    </row>
    <row r="56" spans="1:17" s="7" customFormat="1" ht="35.25" customHeight="1" x14ac:dyDescent="0.2">
      <c r="A56" s="56">
        <v>1</v>
      </c>
      <c r="B56" s="57" t="s">
        <v>45</v>
      </c>
      <c r="C56" s="153">
        <f>D56+H56+K56+N56</f>
        <v>20008994.609999999</v>
      </c>
      <c r="D56" s="153">
        <f>SUM(E56:G58)</f>
        <v>5635548.21</v>
      </c>
      <c r="E56" s="153">
        <v>5635491.8499999996</v>
      </c>
      <c r="F56" s="153">
        <v>56.36</v>
      </c>
      <c r="G56" s="153">
        <v>0</v>
      </c>
      <c r="H56" s="151">
        <f>SUM(I56:J58)</f>
        <v>14373446.4</v>
      </c>
      <c r="I56" s="151">
        <v>14373302.66</v>
      </c>
      <c r="J56" s="151">
        <v>143.74</v>
      </c>
      <c r="K56" s="142">
        <f>SUM(L56:M58)</f>
        <v>0</v>
      </c>
      <c r="L56" s="142">
        <v>0</v>
      </c>
      <c r="M56" s="142">
        <v>0</v>
      </c>
      <c r="N56" s="142">
        <v>0</v>
      </c>
    </row>
    <row r="57" spans="1:17" s="7" customFormat="1" ht="36.75" customHeight="1" x14ac:dyDescent="0.2">
      <c r="A57" s="24">
        <v>2</v>
      </c>
      <c r="B57" s="32" t="s">
        <v>46</v>
      </c>
      <c r="C57" s="176"/>
      <c r="D57" s="176"/>
      <c r="E57" s="176"/>
      <c r="F57" s="176"/>
      <c r="G57" s="176"/>
      <c r="H57" s="152"/>
      <c r="I57" s="152"/>
      <c r="J57" s="152"/>
      <c r="K57" s="143"/>
      <c r="L57" s="143"/>
      <c r="M57" s="143"/>
      <c r="N57" s="143"/>
      <c r="O57" s="84"/>
      <c r="P57" s="103"/>
    </row>
    <row r="58" spans="1:17" s="7" customFormat="1" ht="38.25" customHeight="1" x14ac:dyDescent="0.2">
      <c r="A58" s="24">
        <v>3</v>
      </c>
      <c r="B58" s="32" t="s">
        <v>47</v>
      </c>
      <c r="C58" s="176"/>
      <c r="D58" s="176"/>
      <c r="E58" s="176"/>
      <c r="F58" s="176"/>
      <c r="G58" s="176"/>
      <c r="H58" s="153"/>
      <c r="I58" s="153"/>
      <c r="J58" s="153"/>
      <c r="K58" s="143"/>
      <c r="L58" s="143"/>
      <c r="M58" s="143"/>
      <c r="N58" s="143"/>
      <c r="O58" s="84"/>
      <c r="P58" s="84"/>
    </row>
    <row r="59" spans="1:17" s="7" customFormat="1" ht="30" customHeight="1" x14ac:dyDescent="0.2">
      <c r="A59" s="42"/>
      <c r="B59" s="28" t="s">
        <v>15</v>
      </c>
      <c r="C59" s="42">
        <f>SUM(C56:C58)</f>
        <v>20008994.609999999</v>
      </c>
      <c r="D59" s="73">
        <f t="shared" ref="D59:N59" si="5">SUM(D56:D58)</f>
        <v>5635548.21</v>
      </c>
      <c r="E59" s="73">
        <f t="shared" si="5"/>
        <v>5635491.8499999996</v>
      </c>
      <c r="F59" s="73">
        <f t="shared" si="5"/>
        <v>56.36</v>
      </c>
      <c r="G59" s="73">
        <f t="shared" si="5"/>
        <v>0</v>
      </c>
      <c r="H59" s="73">
        <f t="shared" si="5"/>
        <v>14373446.4</v>
      </c>
      <c r="I59" s="73">
        <f t="shared" si="5"/>
        <v>14373302.66</v>
      </c>
      <c r="J59" s="73">
        <f t="shared" si="5"/>
        <v>143.74</v>
      </c>
      <c r="K59" s="73">
        <f t="shared" si="5"/>
        <v>0</v>
      </c>
      <c r="L59" s="73">
        <f t="shared" si="5"/>
        <v>0</v>
      </c>
      <c r="M59" s="73">
        <f t="shared" si="5"/>
        <v>0</v>
      </c>
      <c r="N59" s="130">
        <f t="shared" si="5"/>
        <v>0</v>
      </c>
      <c r="O59" s="81"/>
      <c r="P59" s="81"/>
    </row>
    <row r="60" spans="1:17" s="7" customFormat="1" ht="27" customHeight="1" x14ac:dyDescent="0.2">
      <c r="A60" s="149" t="s">
        <v>16</v>
      </c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</row>
    <row r="61" spans="1:17" s="3" customFormat="1" ht="30" customHeight="1" x14ac:dyDescent="0.2">
      <c r="A61" s="25">
        <v>1</v>
      </c>
      <c r="B61" s="37" t="s">
        <v>48</v>
      </c>
      <c r="C61" s="151">
        <f>D61+H61+K61+N61</f>
        <v>5437416.0899999999</v>
      </c>
      <c r="D61" s="151">
        <f>SUM(E61:G64)</f>
        <v>2817442.75</v>
      </c>
      <c r="E61" s="151">
        <v>2411515.17</v>
      </c>
      <c r="F61" s="151">
        <v>24.11</v>
      </c>
      <c r="G61" s="151">
        <v>405903.47</v>
      </c>
      <c r="H61" s="151">
        <f>SUM(I61:J63)</f>
        <v>2619973.3400000003</v>
      </c>
      <c r="I61" s="151">
        <v>2619947.14</v>
      </c>
      <c r="J61" s="151">
        <v>26.2</v>
      </c>
      <c r="K61" s="143">
        <f>SUM(L61:M64)</f>
        <v>0</v>
      </c>
      <c r="L61" s="143">
        <v>0</v>
      </c>
      <c r="M61" s="143">
        <v>0</v>
      </c>
      <c r="N61" s="143">
        <v>0</v>
      </c>
      <c r="O61" s="104"/>
      <c r="P61" s="105"/>
    </row>
    <row r="62" spans="1:17" s="3" customFormat="1" ht="40.5" customHeight="1" x14ac:dyDescent="0.2">
      <c r="A62" s="25">
        <v>2</v>
      </c>
      <c r="B62" s="37" t="s">
        <v>59</v>
      </c>
      <c r="C62" s="152"/>
      <c r="D62" s="152"/>
      <c r="E62" s="152"/>
      <c r="F62" s="152"/>
      <c r="G62" s="152"/>
      <c r="H62" s="152"/>
      <c r="I62" s="152"/>
      <c r="J62" s="152"/>
      <c r="K62" s="143"/>
      <c r="L62" s="143"/>
      <c r="M62" s="143"/>
      <c r="N62" s="143"/>
      <c r="O62" s="104"/>
      <c r="P62" s="104"/>
    </row>
    <row r="63" spans="1:17" s="3" customFormat="1" ht="36.75" customHeight="1" x14ac:dyDescent="0.2">
      <c r="A63" s="25">
        <v>3</v>
      </c>
      <c r="B63" s="31" t="s">
        <v>49</v>
      </c>
      <c r="C63" s="152"/>
      <c r="D63" s="152"/>
      <c r="E63" s="152"/>
      <c r="F63" s="152"/>
      <c r="G63" s="152"/>
      <c r="H63" s="152"/>
      <c r="I63" s="152"/>
      <c r="J63" s="152"/>
      <c r="K63" s="143"/>
      <c r="L63" s="143"/>
      <c r="M63" s="143"/>
      <c r="N63" s="143"/>
      <c r="O63" s="82"/>
    </row>
    <row r="64" spans="1:17" s="3" customFormat="1" ht="35.25" customHeight="1" x14ac:dyDescent="0.2">
      <c r="A64" s="25">
        <v>4</v>
      </c>
      <c r="B64" s="31" t="s">
        <v>60</v>
      </c>
      <c r="C64" s="153"/>
      <c r="D64" s="153"/>
      <c r="E64" s="153"/>
      <c r="F64" s="153"/>
      <c r="G64" s="153"/>
      <c r="H64" s="153"/>
      <c r="I64" s="153"/>
      <c r="J64" s="153"/>
      <c r="K64" s="143"/>
      <c r="L64" s="143"/>
      <c r="M64" s="143"/>
      <c r="N64" s="143"/>
      <c r="O64" s="82"/>
    </row>
    <row r="65" spans="1:16" s="3" customFormat="1" ht="59.25" customHeight="1" x14ac:dyDescent="0.2">
      <c r="A65" s="25"/>
      <c r="B65" s="30" t="s">
        <v>82</v>
      </c>
      <c r="C65" s="139">
        <f>D65+H65+K65+N65</f>
        <v>8000</v>
      </c>
      <c r="D65" s="136">
        <f>SUM(E65:G65)</f>
        <v>0</v>
      </c>
      <c r="E65" s="136">
        <v>0</v>
      </c>
      <c r="F65" s="136">
        <v>0</v>
      </c>
      <c r="G65" s="136">
        <v>0</v>
      </c>
      <c r="H65" s="136">
        <f>SUM(I65:J65)</f>
        <v>0</v>
      </c>
      <c r="I65" s="136">
        <v>0</v>
      </c>
      <c r="J65" s="136">
        <v>0</v>
      </c>
      <c r="K65" s="135">
        <f>SUM(L65:M65)</f>
        <v>0</v>
      </c>
      <c r="L65" s="135">
        <v>0</v>
      </c>
      <c r="M65" s="135">
        <v>0</v>
      </c>
      <c r="N65" s="135">
        <v>8000</v>
      </c>
      <c r="O65" s="82"/>
    </row>
    <row r="66" spans="1:16" s="3" customFormat="1" ht="53.25" customHeight="1" x14ac:dyDescent="0.2">
      <c r="A66" s="25"/>
      <c r="B66" s="28" t="s">
        <v>27</v>
      </c>
      <c r="C66" s="42">
        <f>SUM(C61:C65)</f>
        <v>5445416.0899999999</v>
      </c>
      <c r="D66" s="137">
        <f t="shared" ref="D66:N66" si="6">SUM(D61:D65)</f>
        <v>2817442.75</v>
      </c>
      <c r="E66" s="137">
        <f t="shared" si="6"/>
        <v>2411515.17</v>
      </c>
      <c r="F66" s="137">
        <f t="shared" si="6"/>
        <v>24.11</v>
      </c>
      <c r="G66" s="137">
        <f t="shared" si="6"/>
        <v>405903.47</v>
      </c>
      <c r="H66" s="137">
        <f t="shared" si="6"/>
        <v>2619973.3400000003</v>
      </c>
      <c r="I66" s="137">
        <f t="shared" si="6"/>
        <v>2619947.14</v>
      </c>
      <c r="J66" s="137">
        <f t="shared" si="6"/>
        <v>26.2</v>
      </c>
      <c r="K66" s="137">
        <f t="shared" si="6"/>
        <v>0</v>
      </c>
      <c r="L66" s="137">
        <f t="shared" si="6"/>
        <v>0</v>
      </c>
      <c r="M66" s="137">
        <f t="shared" si="6"/>
        <v>0</v>
      </c>
      <c r="N66" s="137">
        <f t="shared" si="6"/>
        <v>8000</v>
      </c>
      <c r="O66" s="81"/>
      <c r="P66" s="81"/>
    </row>
    <row r="67" spans="1:16" s="3" customFormat="1" ht="52.5" customHeight="1" x14ac:dyDescent="0.2">
      <c r="A67" s="42"/>
      <c r="B67" s="31" t="s">
        <v>26</v>
      </c>
      <c r="C67" s="42">
        <f>C66+C59+C54+C45+C35+C28</f>
        <v>112511787.65000001</v>
      </c>
      <c r="D67" s="73">
        <f t="shared" ref="D67:N67" si="7">D66+D59+D54+D45+D35+D28</f>
        <v>44492513.230000004</v>
      </c>
      <c r="E67" s="73">
        <f t="shared" si="7"/>
        <v>43645173.300000004</v>
      </c>
      <c r="F67" s="73">
        <f t="shared" si="7"/>
        <v>436.46000000000004</v>
      </c>
      <c r="G67" s="73">
        <f t="shared" si="7"/>
        <v>846903.47</v>
      </c>
      <c r="H67" s="73">
        <f t="shared" si="7"/>
        <v>67928274.420000002</v>
      </c>
      <c r="I67" s="73">
        <f>I66+I59+I54+I45+I35+I28</f>
        <v>67927595.13000001</v>
      </c>
      <c r="J67" s="73">
        <f>J66+J59+J54+J45+J35+J28</f>
        <v>679.29</v>
      </c>
      <c r="K67" s="73">
        <f t="shared" ca="1" si="7"/>
        <v>0</v>
      </c>
      <c r="L67" s="73">
        <f t="shared" si="7"/>
        <v>0</v>
      </c>
      <c r="M67" s="73">
        <f t="shared" si="7"/>
        <v>0</v>
      </c>
      <c r="N67" s="130">
        <f t="shared" si="7"/>
        <v>91000</v>
      </c>
      <c r="O67" s="84"/>
      <c r="P67" s="84"/>
    </row>
    <row r="68" spans="1:16" s="3" customFormat="1" ht="31.5" customHeight="1" x14ac:dyDescent="0.2">
      <c r="A68" s="144" t="s">
        <v>18</v>
      </c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85"/>
      <c r="P68" s="104"/>
    </row>
    <row r="69" spans="1:16" s="3" customFormat="1" ht="31.5" customHeight="1" x14ac:dyDescent="0.2">
      <c r="A69" s="175" t="s">
        <v>10</v>
      </c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86"/>
      <c r="P69" s="86"/>
    </row>
    <row r="70" spans="1:16" s="3" customFormat="1" ht="46.5" customHeight="1" x14ac:dyDescent="0.2">
      <c r="A70" s="52">
        <v>1</v>
      </c>
      <c r="B70" s="30" t="s">
        <v>68</v>
      </c>
      <c r="C70" s="47">
        <f>D70+H70+K70+N70</f>
        <v>1750000</v>
      </c>
      <c r="D70" s="46">
        <f>SUM(E70:G70)</f>
        <v>0</v>
      </c>
      <c r="E70" s="46">
        <v>0</v>
      </c>
      <c r="F70" s="46">
        <v>0</v>
      </c>
      <c r="G70" s="46">
        <v>0</v>
      </c>
      <c r="H70" s="64">
        <f>SUM(I70:J70)</f>
        <v>0</v>
      </c>
      <c r="I70" s="64">
        <v>0</v>
      </c>
      <c r="J70" s="64">
        <v>0</v>
      </c>
      <c r="K70" s="46">
        <f>SUM(L70:M70)</f>
        <v>1750000</v>
      </c>
      <c r="L70" s="46">
        <v>1749982.5</v>
      </c>
      <c r="M70" s="46">
        <v>17.5</v>
      </c>
      <c r="N70" s="129">
        <v>0</v>
      </c>
      <c r="O70" s="82"/>
      <c r="P70" s="85"/>
    </row>
    <row r="71" spans="1:16" s="3" customFormat="1" ht="46.5" customHeight="1" x14ac:dyDescent="0.2">
      <c r="A71" s="52" t="s">
        <v>91</v>
      </c>
      <c r="B71" s="30" t="s">
        <v>90</v>
      </c>
      <c r="C71" s="117">
        <f>D71+H71+K71+N71</f>
        <v>398900</v>
      </c>
      <c r="D71" s="116">
        <f>SUM(E71:G71)</f>
        <v>0</v>
      </c>
      <c r="E71" s="116">
        <v>0</v>
      </c>
      <c r="F71" s="116">
        <v>0</v>
      </c>
      <c r="G71" s="116">
        <v>0</v>
      </c>
      <c r="H71" s="116">
        <f>SUM(I71:J71)</f>
        <v>0</v>
      </c>
      <c r="I71" s="116">
        <v>0</v>
      </c>
      <c r="J71" s="116">
        <v>0</v>
      </c>
      <c r="K71" s="116">
        <f>SUM(L71:M71)</f>
        <v>0</v>
      </c>
      <c r="L71" s="116">
        <v>0</v>
      </c>
      <c r="M71" s="116">
        <v>0</v>
      </c>
      <c r="N71" s="129">
        <v>398900</v>
      </c>
      <c r="O71" s="82"/>
      <c r="P71" s="85"/>
    </row>
    <row r="72" spans="1:16" s="3" customFormat="1" ht="46.5" customHeight="1" x14ac:dyDescent="0.2">
      <c r="A72" s="52"/>
      <c r="B72" s="30" t="s">
        <v>82</v>
      </c>
      <c r="C72" s="125">
        <v>6000</v>
      </c>
      <c r="D72" s="124">
        <v>0</v>
      </c>
      <c r="E72" s="124">
        <v>0</v>
      </c>
      <c r="F72" s="124">
        <v>0</v>
      </c>
      <c r="G72" s="124">
        <v>0</v>
      </c>
      <c r="H72" s="124">
        <v>0</v>
      </c>
      <c r="I72" s="124">
        <v>0</v>
      </c>
      <c r="J72" s="124">
        <v>0</v>
      </c>
      <c r="K72" s="124">
        <v>0</v>
      </c>
      <c r="L72" s="124">
        <v>0</v>
      </c>
      <c r="M72" s="124">
        <v>0</v>
      </c>
      <c r="N72" s="129">
        <v>6000</v>
      </c>
      <c r="O72" s="82"/>
      <c r="P72" s="85"/>
    </row>
    <row r="73" spans="1:16" s="3" customFormat="1" ht="54.75" customHeight="1" x14ac:dyDescent="0.2">
      <c r="A73" s="52"/>
      <c r="B73" s="30" t="s">
        <v>74</v>
      </c>
      <c r="C73" s="70">
        <f>D73+H73+K73+N73</f>
        <v>6000</v>
      </c>
      <c r="D73" s="64">
        <f>SUM(E73:G73)</f>
        <v>0</v>
      </c>
      <c r="E73" s="64">
        <v>0</v>
      </c>
      <c r="F73" s="64">
        <v>0</v>
      </c>
      <c r="G73" s="64">
        <v>0</v>
      </c>
      <c r="H73" s="64">
        <f>SUM(I73:J73)</f>
        <v>0</v>
      </c>
      <c r="I73" s="64">
        <v>0</v>
      </c>
      <c r="J73" s="64">
        <v>0</v>
      </c>
      <c r="K73" s="64">
        <f>SUM(L73:M73)</f>
        <v>0</v>
      </c>
      <c r="L73" s="64">
        <v>0</v>
      </c>
      <c r="M73" s="64">
        <v>0</v>
      </c>
      <c r="N73" s="129">
        <v>6000</v>
      </c>
    </row>
    <row r="74" spans="1:16" s="3" customFormat="1" ht="65.25" customHeight="1" x14ac:dyDescent="0.2">
      <c r="A74" s="46"/>
      <c r="B74" s="28" t="s">
        <v>11</v>
      </c>
      <c r="C74" s="46">
        <f>SUM(C70:C73)</f>
        <v>2160900</v>
      </c>
      <c r="D74" s="64">
        <f t="shared" ref="D74:M74" si="8">SUM(D70:D73)</f>
        <v>0</v>
      </c>
      <c r="E74" s="64">
        <f t="shared" si="8"/>
        <v>0</v>
      </c>
      <c r="F74" s="64">
        <f t="shared" si="8"/>
        <v>0</v>
      </c>
      <c r="G74" s="64">
        <f t="shared" si="8"/>
        <v>0</v>
      </c>
      <c r="H74" s="64">
        <f t="shared" si="8"/>
        <v>0</v>
      </c>
      <c r="I74" s="64">
        <f t="shared" si="8"/>
        <v>0</v>
      </c>
      <c r="J74" s="64">
        <f t="shared" si="8"/>
        <v>0</v>
      </c>
      <c r="K74" s="64">
        <f t="shared" si="8"/>
        <v>1750000</v>
      </c>
      <c r="L74" s="64">
        <f t="shared" si="8"/>
        <v>1749982.5</v>
      </c>
      <c r="M74" s="64">
        <f t="shared" si="8"/>
        <v>17.5</v>
      </c>
      <c r="N74" s="129">
        <f>SUM(N70:N73)</f>
        <v>410900</v>
      </c>
    </row>
    <row r="75" spans="1:16" s="3" customFormat="1" ht="31.5" customHeight="1" x14ac:dyDescent="0.2">
      <c r="A75" s="175" t="s">
        <v>12</v>
      </c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</row>
    <row r="76" spans="1:16" s="3" customFormat="1" ht="65.25" customHeight="1" x14ac:dyDescent="0.2">
      <c r="A76" s="55">
        <v>1</v>
      </c>
      <c r="B76" s="58" t="s">
        <v>63</v>
      </c>
      <c r="C76" s="59">
        <f>D76+H76+K76+N76</f>
        <v>797991.6</v>
      </c>
      <c r="D76" s="60">
        <f>SUM(E76:G76)</f>
        <v>0</v>
      </c>
      <c r="E76" s="61">
        <v>0</v>
      </c>
      <c r="F76" s="61">
        <v>0</v>
      </c>
      <c r="G76" s="61">
        <v>0</v>
      </c>
      <c r="H76" s="61">
        <f>SUM(I76:J76)</f>
        <v>0</v>
      </c>
      <c r="I76" s="61">
        <v>0</v>
      </c>
      <c r="J76" s="61">
        <v>0</v>
      </c>
      <c r="K76" s="62">
        <f>SUM(L76:M76)</f>
        <v>797991.6</v>
      </c>
      <c r="L76" s="62">
        <v>797983.62</v>
      </c>
      <c r="M76" s="62">
        <v>7.98</v>
      </c>
      <c r="N76" s="127">
        <v>0</v>
      </c>
    </row>
    <row r="77" spans="1:16" s="3" customFormat="1" ht="42.75" customHeight="1" x14ac:dyDescent="0.2">
      <c r="A77" s="55"/>
      <c r="B77" s="78" t="s">
        <v>82</v>
      </c>
      <c r="C77" s="71">
        <f>D77+H77+K77+N77</f>
        <v>4000</v>
      </c>
      <c r="D77" s="60">
        <f>SUM(E77:G77)</f>
        <v>0</v>
      </c>
      <c r="E77" s="61">
        <v>0</v>
      </c>
      <c r="F77" s="61">
        <v>0</v>
      </c>
      <c r="G77" s="61">
        <v>0</v>
      </c>
      <c r="H77" s="61">
        <f>SUM(I77:J77)</f>
        <v>0</v>
      </c>
      <c r="I77" s="61">
        <v>0</v>
      </c>
      <c r="J77" s="61">
        <v>0</v>
      </c>
      <c r="K77" s="65">
        <f>SUM(L77:M77)</f>
        <v>0</v>
      </c>
      <c r="L77" s="65">
        <v>0</v>
      </c>
      <c r="M77" s="65">
        <v>0</v>
      </c>
      <c r="N77" s="127">
        <v>4000</v>
      </c>
    </row>
    <row r="78" spans="1:16" s="3" customFormat="1" ht="31.5" customHeight="1" x14ac:dyDescent="0.2">
      <c r="A78" s="41"/>
      <c r="B78" s="41" t="s">
        <v>13</v>
      </c>
      <c r="C78" s="41">
        <f>SUM(C76:C77)</f>
        <v>801991.6</v>
      </c>
      <c r="D78" s="64">
        <f t="shared" ref="D78:N78" si="9">SUM(D76:D77)</f>
        <v>0</v>
      </c>
      <c r="E78" s="64">
        <f t="shared" si="9"/>
        <v>0</v>
      </c>
      <c r="F78" s="64">
        <f t="shared" si="9"/>
        <v>0</v>
      </c>
      <c r="G78" s="64">
        <f t="shared" si="9"/>
        <v>0</v>
      </c>
      <c r="H78" s="64">
        <f t="shared" si="9"/>
        <v>0</v>
      </c>
      <c r="I78" s="64">
        <f t="shared" si="9"/>
        <v>0</v>
      </c>
      <c r="J78" s="64">
        <f t="shared" si="9"/>
        <v>0</v>
      </c>
      <c r="K78" s="64">
        <f t="shared" si="9"/>
        <v>797991.6</v>
      </c>
      <c r="L78" s="64">
        <f t="shared" si="9"/>
        <v>797983.62</v>
      </c>
      <c r="M78" s="64">
        <f t="shared" si="9"/>
        <v>7.98</v>
      </c>
      <c r="N78" s="129">
        <f t="shared" si="9"/>
        <v>4000</v>
      </c>
    </row>
    <row r="79" spans="1:16" s="3" customFormat="1" ht="31.5" customHeight="1" x14ac:dyDescent="0.2">
      <c r="A79" s="175" t="s">
        <v>16</v>
      </c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</row>
    <row r="80" spans="1:16" s="3" customFormat="1" ht="102.75" customHeight="1" x14ac:dyDescent="0.2">
      <c r="A80" s="55">
        <v>1</v>
      </c>
      <c r="B80" s="63" t="s">
        <v>92</v>
      </c>
      <c r="C80" s="59">
        <f>D80+H80+K80+N80</f>
        <v>6053911.8700000001</v>
      </c>
      <c r="D80" s="60">
        <f>SUM(E80:G80)</f>
        <v>6038911.8700000001</v>
      </c>
      <c r="E80" s="60">
        <v>6038851.4800000004</v>
      </c>
      <c r="F80" s="60">
        <v>60.39</v>
      </c>
      <c r="G80" s="60">
        <v>0</v>
      </c>
      <c r="H80" s="60">
        <f>SUM(I80:J80)</f>
        <v>0</v>
      </c>
      <c r="I80" s="60">
        <v>0</v>
      </c>
      <c r="J80" s="60">
        <v>0</v>
      </c>
      <c r="K80" s="62">
        <f>SUM(L80:M80)</f>
        <v>0</v>
      </c>
      <c r="L80" s="62">
        <v>0</v>
      </c>
      <c r="M80" s="62">
        <v>0</v>
      </c>
      <c r="N80" s="127">
        <v>15000</v>
      </c>
    </row>
    <row r="81" spans="1:16" s="3" customFormat="1" ht="96" customHeight="1" x14ac:dyDescent="0.2">
      <c r="A81" s="23">
        <v>2</v>
      </c>
      <c r="B81" s="29" t="s">
        <v>71</v>
      </c>
      <c r="C81" s="71">
        <f t="shared" ref="C81:C83" si="10">D81+H81+K81+N81</f>
        <v>1014000</v>
      </c>
      <c r="D81" s="50">
        <f t="shared" ref="D81:D83" si="11">SUM(E81:G81)</f>
        <v>0</v>
      </c>
      <c r="E81" s="50">
        <v>0</v>
      </c>
      <c r="F81" s="50">
        <v>0</v>
      </c>
      <c r="G81" s="50">
        <v>0</v>
      </c>
      <c r="H81" s="60">
        <f t="shared" ref="H81:H83" si="12">SUM(I81:J81)</f>
        <v>0</v>
      </c>
      <c r="I81" s="60">
        <v>0</v>
      </c>
      <c r="J81" s="60">
        <v>0</v>
      </c>
      <c r="K81" s="62">
        <f>SUM(L81:M81)</f>
        <v>0</v>
      </c>
      <c r="L81" s="62">
        <v>0</v>
      </c>
      <c r="M81" s="62">
        <v>0</v>
      </c>
      <c r="N81" s="132">
        <v>1014000</v>
      </c>
      <c r="P81" s="82"/>
    </row>
    <row r="82" spans="1:16" s="3" customFormat="1" ht="96" customHeight="1" x14ac:dyDescent="0.2">
      <c r="A82" s="23">
        <v>3</v>
      </c>
      <c r="B82" s="29" t="s">
        <v>93</v>
      </c>
      <c r="C82" s="120">
        <f t="shared" si="10"/>
        <v>1495000</v>
      </c>
      <c r="D82" s="121">
        <f t="shared" si="11"/>
        <v>0</v>
      </c>
      <c r="E82" s="121">
        <v>0</v>
      </c>
      <c r="F82" s="121">
        <v>0</v>
      </c>
      <c r="G82" s="121">
        <v>0</v>
      </c>
      <c r="H82" s="119">
        <f t="shared" si="12"/>
        <v>0</v>
      </c>
      <c r="I82" s="119">
        <v>0</v>
      </c>
      <c r="J82" s="119">
        <v>0</v>
      </c>
      <c r="K82" s="118">
        <f>SUM(L82:M82)</f>
        <v>0</v>
      </c>
      <c r="L82" s="118">
        <v>0</v>
      </c>
      <c r="M82" s="118">
        <v>0</v>
      </c>
      <c r="N82" s="132">
        <v>1495000</v>
      </c>
      <c r="P82" s="82"/>
    </row>
    <row r="83" spans="1:16" s="3" customFormat="1" ht="77.25" customHeight="1" x14ac:dyDescent="0.2">
      <c r="A83" s="23"/>
      <c r="B83" s="29" t="s">
        <v>72</v>
      </c>
      <c r="C83" s="71">
        <f t="shared" si="10"/>
        <v>6000</v>
      </c>
      <c r="D83" s="50">
        <f t="shared" si="11"/>
        <v>0</v>
      </c>
      <c r="E83" s="50">
        <v>0</v>
      </c>
      <c r="F83" s="50">
        <v>0</v>
      </c>
      <c r="G83" s="50">
        <v>0</v>
      </c>
      <c r="H83" s="60">
        <f t="shared" si="12"/>
        <v>0</v>
      </c>
      <c r="I83" s="60">
        <v>0</v>
      </c>
      <c r="J83" s="60">
        <v>0</v>
      </c>
      <c r="K83" s="62">
        <f>SUM(L83:M83)</f>
        <v>0</v>
      </c>
      <c r="L83" s="62">
        <v>0</v>
      </c>
      <c r="M83" s="62">
        <v>0</v>
      </c>
      <c r="N83" s="132">
        <v>6000</v>
      </c>
    </row>
    <row r="84" spans="1:16" s="3" customFormat="1" ht="65.25" customHeight="1" x14ac:dyDescent="0.2">
      <c r="A84" s="43"/>
      <c r="B84" s="28" t="s">
        <v>27</v>
      </c>
      <c r="C84" s="43">
        <f>SUM(C80:C83)</f>
        <v>8568911.870000001</v>
      </c>
      <c r="D84" s="68">
        <f t="shared" ref="D84:N84" si="13">SUM(D80:D83)</f>
        <v>6038911.8700000001</v>
      </c>
      <c r="E84" s="68">
        <f t="shared" si="13"/>
        <v>6038851.4800000004</v>
      </c>
      <c r="F84" s="68">
        <f t="shared" si="13"/>
        <v>60.39</v>
      </c>
      <c r="G84" s="68">
        <f t="shared" si="13"/>
        <v>0</v>
      </c>
      <c r="H84" s="68">
        <f t="shared" si="13"/>
        <v>0</v>
      </c>
      <c r="I84" s="68">
        <f t="shared" si="13"/>
        <v>0</v>
      </c>
      <c r="J84" s="68">
        <f t="shared" si="13"/>
        <v>0</v>
      </c>
      <c r="K84" s="68">
        <f t="shared" si="13"/>
        <v>0</v>
      </c>
      <c r="L84" s="68">
        <f t="shared" si="13"/>
        <v>0</v>
      </c>
      <c r="M84" s="68">
        <f t="shared" si="13"/>
        <v>0</v>
      </c>
      <c r="N84" s="133">
        <f t="shared" si="13"/>
        <v>2530000</v>
      </c>
    </row>
    <row r="85" spans="1:16" s="3" customFormat="1" ht="27" customHeight="1" x14ac:dyDescent="0.2">
      <c r="A85" s="141" t="s">
        <v>19</v>
      </c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</row>
    <row r="86" spans="1:16" s="3" customFormat="1" ht="79.5" customHeight="1" x14ac:dyDescent="0.2">
      <c r="A86" s="55">
        <v>1</v>
      </c>
      <c r="B86" s="58" t="s">
        <v>30</v>
      </c>
      <c r="C86" s="71">
        <f>D86+H86+K86+N86</f>
        <v>228254689.41999999</v>
      </c>
      <c r="D86" s="60">
        <f>SUM(E86:G86)</f>
        <v>225222232.34999999</v>
      </c>
      <c r="E86" s="74">
        <f>221745866.24+3474113.85</f>
        <v>225219980.09</v>
      </c>
      <c r="F86" s="74">
        <f>2217.47+212.87-178.08</f>
        <v>2252.2599999999998</v>
      </c>
      <c r="G86" s="74">
        <v>0</v>
      </c>
      <c r="H86" s="74">
        <f>SUM(I86:J86)</f>
        <v>0</v>
      </c>
      <c r="I86" s="60">
        <v>0</v>
      </c>
      <c r="J86" s="60">
        <v>0</v>
      </c>
      <c r="K86" s="65">
        <f>SUM(L86:M86)</f>
        <v>2432457.0699999998</v>
      </c>
      <c r="L86" s="65">
        <v>2432457.0699999998</v>
      </c>
      <c r="M86" s="65">
        <v>0</v>
      </c>
      <c r="N86" s="127">
        <v>600000</v>
      </c>
      <c r="O86" s="82"/>
      <c r="P86" s="104"/>
    </row>
    <row r="87" spans="1:16" s="3" customFormat="1" ht="93.75" customHeight="1" x14ac:dyDescent="0.2">
      <c r="A87" s="23">
        <v>2</v>
      </c>
      <c r="B87" s="28" t="s">
        <v>62</v>
      </c>
      <c r="C87" s="71">
        <f>D87+H87+K87+N87</f>
        <v>4787278.32</v>
      </c>
      <c r="D87" s="43">
        <f t="shared" ref="D87" si="14">SUM(E87:G87)</f>
        <v>0</v>
      </c>
      <c r="E87" s="26">
        <v>0</v>
      </c>
      <c r="F87" s="26">
        <v>0</v>
      </c>
      <c r="G87" s="26">
        <v>0</v>
      </c>
      <c r="H87" s="26">
        <f t="shared" ref="H87:H88" si="15">SUM(I87:J87)</f>
        <v>0</v>
      </c>
      <c r="I87" s="60">
        <v>0</v>
      </c>
      <c r="J87" s="60">
        <v>0</v>
      </c>
      <c r="K87" s="45">
        <f>SUM(L87:M87)</f>
        <v>4387278.32</v>
      </c>
      <c r="L87" s="45">
        <v>4387278.32</v>
      </c>
      <c r="M87" s="51">
        <v>0</v>
      </c>
      <c r="N87" s="132">
        <f>400000</f>
        <v>400000</v>
      </c>
      <c r="O87" s="115"/>
      <c r="P87" s="104"/>
    </row>
    <row r="88" spans="1:16" s="3" customFormat="1" ht="64.5" customHeight="1" x14ac:dyDescent="0.2">
      <c r="A88" s="23">
        <v>3</v>
      </c>
      <c r="B88" s="28" t="s">
        <v>64</v>
      </c>
      <c r="C88" s="71">
        <f>D88+H88+K88+N88</f>
        <v>515766424.30000001</v>
      </c>
      <c r="D88" s="43">
        <f t="shared" ref="D88" si="16">SUM(E88:G88)</f>
        <v>0</v>
      </c>
      <c r="E88" s="26">
        <v>0</v>
      </c>
      <c r="F88" s="26">
        <v>0</v>
      </c>
      <c r="G88" s="26">
        <v>0</v>
      </c>
      <c r="H88" s="26">
        <f t="shared" si="15"/>
        <v>0</v>
      </c>
      <c r="I88" s="60">
        <v>0</v>
      </c>
      <c r="J88" s="60">
        <v>0</v>
      </c>
      <c r="K88" s="45">
        <f t="shared" ref="K88" si="17">SUM(L88:M88)</f>
        <v>515766424.30000001</v>
      </c>
      <c r="L88" s="45">
        <f>517511180.99-1749982.5</f>
        <v>515761198.49000001</v>
      </c>
      <c r="M88" s="45">
        <f>5243.31-17.5</f>
        <v>5225.8100000000004</v>
      </c>
      <c r="N88" s="132">
        <v>0</v>
      </c>
      <c r="O88" s="104"/>
      <c r="P88" s="104"/>
    </row>
    <row r="89" spans="1:16" s="3" customFormat="1" ht="54" customHeight="1" x14ac:dyDescent="0.2">
      <c r="A89" s="23"/>
      <c r="B89" s="28" t="s">
        <v>24</v>
      </c>
      <c r="C89" s="43">
        <f>SUM(C86:C88)</f>
        <v>748808392.03999996</v>
      </c>
      <c r="D89" s="68">
        <f t="shared" ref="D89:M89" si="18">SUM(D86:D88)</f>
        <v>225222232.34999999</v>
      </c>
      <c r="E89" s="68">
        <f t="shared" si="18"/>
        <v>225219980.09</v>
      </c>
      <c r="F89" s="68">
        <f t="shared" si="18"/>
        <v>2252.2599999999998</v>
      </c>
      <c r="G89" s="68">
        <f t="shared" si="18"/>
        <v>0</v>
      </c>
      <c r="H89" s="68">
        <f t="shared" si="18"/>
        <v>0</v>
      </c>
      <c r="I89" s="68">
        <f t="shared" si="18"/>
        <v>0</v>
      </c>
      <c r="J89" s="68">
        <f t="shared" si="18"/>
        <v>0</v>
      </c>
      <c r="K89" s="68">
        <f t="shared" si="18"/>
        <v>522586159.69</v>
      </c>
      <c r="L89" s="68">
        <f t="shared" si="18"/>
        <v>522580933.88</v>
      </c>
      <c r="M89" s="68">
        <f t="shared" si="18"/>
        <v>5225.8100000000004</v>
      </c>
      <c r="N89" s="133">
        <f>SUM(N86:N88)</f>
        <v>1000000</v>
      </c>
      <c r="O89" s="115"/>
      <c r="P89" s="104"/>
    </row>
    <row r="90" spans="1:16" s="3" customFormat="1" ht="31.5" customHeight="1" x14ac:dyDescent="0.2">
      <c r="A90" s="154" t="s">
        <v>98</v>
      </c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6"/>
      <c r="O90" s="115"/>
      <c r="P90" s="104"/>
    </row>
    <row r="91" spans="1:16" s="3" customFormat="1" ht="54" customHeight="1" x14ac:dyDescent="0.2">
      <c r="A91" s="23"/>
      <c r="B91" s="28" t="s">
        <v>97</v>
      </c>
      <c r="C91" s="136">
        <f>D91+H91+K91+N91</f>
        <v>24614046.140000001</v>
      </c>
      <c r="D91" s="139">
        <f>SUM(E91:G91)</f>
        <v>0</v>
      </c>
      <c r="E91" s="139">
        <v>0</v>
      </c>
      <c r="F91" s="139">
        <v>0</v>
      </c>
      <c r="G91" s="139">
        <v>0</v>
      </c>
      <c r="H91" s="26">
        <f t="shared" ref="H91" si="19">SUM(I91:J91)</f>
        <v>0</v>
      </c>
      <c r="I91" s="139">
        <v>0</v>
      </c>
      <c r="J91" s="139">
        <v>0</v>
      </c>
      <c r="K91" s="135">
        <f>SUM(L91:M91)</f>
        <v>24614046.140000001</v>
      </c>
      <c r="L91" s="139">
        <v>24613800</v>
      </c>
      <c r="M91" s="139">
        <v>246.14</v>
      </c>
      <c r="N91" s="139">
        <v>0</v>
      </c>
      <c r="O91" s="115"/>
      <c r="P91" s="104"/>
    </row>
    <row r="92" spans="1:16" s="3" customFormat="1" ht="54" customHeight="1" x14ac:dyDescent="0.2">
      <c r="A92" s="23"/>
      <c r="B92" s="28" t="s">
        <v>99</v>
      </c>
      <c r="C92" s="139">
        <f>SUM(C91)</f>
        <v>24614046.140000001</v>
      </c>
      <c r="D92" s="139">
        <f t="shared" ref="D92:N92" si="20">SUM(D91)</f>
        <v>0</v>
      </c>
      <c r="E92" s="139">
        <f t="shared" si="20"/>
        <v>0</v>
      </c>
      <c r="F92" s="139">
        <f t="shared" si="20"/>
        <v>0</v>
      </c>
      <c r="G92" s="139">
        <f t="shared" si="20"/>
        <v>0</v>
      </c>
      <c r="H92" s="139">
        <f t="shared" si="20"/>
        <v>0</v>
      </c>
      <c r="I92" s="139">
        <f t="shared" si="20"/>
        <v>0</v>
      </c>
      <c r="J92" s="139">
        <f t="shared" si="20"/>
        <v>0</v>
      </c>
      <c r="K92" s="139">
        <f t="shared" si="20"/>
        <v>24613800</v>
      </c>
      <c r="L92" s="139">
        <f t="shared" si="20"/>
        <v>24613800</v>
      </c>
      <c r="M92" s="139">
        <f t="shared" si="20"/>
        <v>246.14</v>
      </c>
      <c r="N92" s="139">
        <f t="shared" si="20"/>
        <v>0</v>
      </c>
      <c r="O92" s="115"/>
      <c r="P92" s="104"/>
    </row>
    <row r="93" spans="1:16" s="3" customFormat="1" ht="80.25" customHeight="1" x14ac:dyDescent="0.2">
      <c r="A93" s="23"/>
      <c r="B93" s="28" t="s">
        <v>25</v>
      </c>
      <c r="C93" s="43">
        <f>C74+C78+C84+C89+C92</f>
        <v>784954241.64999998</v>
      </c>
      <c r="D93" s="139">
        <f t="shared" ref="D93:N93" si="21">D74+D78+D84+D89+D92</f>
        <v>231261144.22</v>
      </c>
      <c r="E93" s="139">
        <f t="shared" si="21"/>
        <v>231258831.56999999</v>
      </c>
      <c r="F93" s="139">
        <f t="shared" si="21"/>
        <v>2312.6499999999996</v>
      </c>
      <c r="G93" s="139">
        <f t="shared" si="21"/>
        <v>0</v>
      </c>
      <c r="H93" s="139">
        <f t="shared" si="21"/>
        <v>0</v>
      </c>
      <c r="I93" s="139">
        <f t="shared" si="21"/>
        <v>0</v>
      </c>
      <c r="J93" s="139">
        <f t="shared" si="21"/>
        <v>0</v>
      </c>
      <c r="K93" s="139">
        <f t="shared" si="21"/>
        <v>549747951.28999996</v>
      </c>
      <c r="L93" s="139">
        <f t="shared" si="21"/>
        <v>549742700</v>
      </c>
      <c r="M93" s="139">
        <f t="shared" si="21"/>
        <v>5497.43</v>
      </c>
      <c r="N93" s="139">
        <f t="shared" si="21"/>
        <v>3944900</v>
      </c>
      <c r="O93" s="82"/>
    </row>
    <row r="94" spans="1:16" s="3" customFormat="1" ht="51" customHeight="1" x14ac:dyDescent="0.2">
      <c r="A94" s="154" t="s">
        <v>87</v>
      </c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6"/>
    </row>
    <row r="95" spans="1:16" s="3" customFormat="1" ht="51" customHeight="1" x14ac:dyDescent="0.2">
      <c r="A95" s="98">
        <v>1</v>
      </c>
      <c r="B95" s="28" t="s">
        <v>6</v>
      </c>
      <c r="C95" s="95">
        <f t="shared" ref="C95:C100" si="22">D95+H95+K95+N95</f>
        <v>190201.57</v>
      </c>
      <c r="D95" s="96">
        <f t="shared" ref="D95:D100" si="23">SUM(E95:G95)</f>
        <v>0</v>
      </c>
      <c r="E95" s="92">
        <v>0</v>
      </c>
      <c r="F95" s="92">
        <v>0</v>
      </c>
      <c r="G95" s="92">
        <v>0</v>
      </c>
      <c r="H95" s="74">
        <f t="shared" ref="H95:H100" si="24">SUM(I95:J95)</f>
        <v>0</v>
      </c>
      <c r="I95" s="93">
        <v>0</v>
      </c>
      <c r="J95" s="93">
        <v>0</v>
      </c>
      <c r="K95" s="94">
        <f t="shared" ref="K95:K100" si="25">SUM(L95:M95)</f>
        <v>190201.57</v>
      </c>
      <c r="L95" s="96">
        <v>190199.66</v>
      </c>
      <c r="M95" s="96">
        <v>1.91</v>
      </c>
      <c r="N95" s="132">
        <v>0</v>
      </c>
    </row>
    <row r="96" spans="1:16" s="3" customFormat="1" ht="51" customHeight="1" x14ac:dyDescent="0.2">
      <c r="A96" s="98">
        <v>2</v>
      </c>
      <c r="B96" s="28" t="s">
        <v>7</v>
      </c>
      <c r="C96" s="95">
        <f t="shared" si="22"/>
        <v>190201.57</v>
      </c>
      <c r="D96" s="96">
        <f t="shared" si="23"/>
        <v>0</v>
      </c>
      <c r="E96" s="92">
        <v>0</v>
      </c>
      <c r="F96" s="92">
        <v>0</v>
      </c>
      <c r="G96" s="92">
        <v>0</v>
      </c>
      <c r="H96" s="74">
        <f t="shared" si="24"/>
        <v>0</v>
      </c>
      <c r="I96" s="93">
        <v>0</v>
      </c>
      <c r="J96" s="93">
        <v>0</v>
      </c>
      <c r="K96" s="94">
        <f t="shared" si="25"/>
        <v>190201.57</v>
      </c>
      <c r="L96" s="96">
        <v>190199.67</v>
      </c>
      <c r="M96" s="96">
        <v>1.9</v>
      </c>
      <c r="N96" s="132">
        <v>0</v>
      </c>
    </row>
    <row r="97" spans="1:15" s="3" customFormat="1" ht="51" customHeight="1" x14ac:dyDescent="0.2">
      <c r="A97" s="98">
        <v>3</v>
      </c>
      <c r="B97" s="28" t="s">
        <v>10</v>
      </c>
      <c r="C97" s="95">
        <f t="shared" si="22"/>
        <v>190201.57</v>
      </c>
      <c r="D97" s="96">
        <f t="shared" si="23"/>
        <v>0</v>
      </c>
      <c r="E97" s="92">
        <v>0</v>
      </c>
      <c r="F97" s="92">
        <v>0</v>
      </c>
      <c r="G97" s="92">
        <v>0</v>
      </c>
      <c r="H97" s="74">
        <f t="shared" si="24"/>
        <v>0</v>
      </c>
      <c r="I97" s="93">
        <v>0</v>
      </c>
      <c r="J97" s="93">
        <v>0</v>
      </c>
      <c r="K97" s="94">
        <f t="shared" si="25"/>
        <v>190201.57</v>
      </c>
      <c r="L97" s="96">
        <v>190199.67</v>
      </c>
      <c r="M97" s="96">
        <v>1.9</v>
      </c>
      <c r="N97" s="132">
        <v>0</v>
      </c>
    </row>
    <row r="98" spans="1:15" s="3" customFormat="1" ht="51" customHeight="1" x14ac:dyDescent="0.2">
      <c r="A98" s="98">
        <v>4</v>
      </c>
      <c r="B98" s="28" t="s">
        <v>12</v>
      </c>
      <c r="C98" s="95">
        <f t="shared" si="22"/>
        <v>190201.57</v>
      </c>
      <c r="D98" s="96">
        <f t="shared" si="23"/>
        <v>0</v>
      </c>
      <c r="E98" s="92">
        <v>0</v>
      </c>
      <c r="F98" s="92">
        <v>0</v>
      </c>
      <c r="G98" s="92">
        <v>0</v>
      </c>
      <c r="H98" s="74">
        <f t="shared" si="24"/>
        <v>0</v>
      </c>
      <c r="I98" s="93">
        <v>0</v>
      </c>
      <c r="J98" s="93">
        <v>0</v>
      </c>
      <c r="K98" s="94">
        <f t="shared" si="25"/>
        <v>190201.57</v>
      </c>
      <c r="L98" s="96">
        <v>190199.67</v>
      </c>
      <c r="M98" s="96">
        <v>1.9</v>
      </c>
      <c r="N98" s="132">
        <v>0</v>
      </c>
    </row>
    <row r="99" spans="1:15" s="3" customFormat="1" ht="51" customHeight="1" x14ac:dyDescent="0.2">
      <c r="A99" s="98">
        <v>5</v>
      </c>
      <c r="B99" s="28" t="s">
        <v>14</v>
      </c>
      <c r="C99" s="95">
        <f t="shared" si="22"/>
        <v>190201.56</v>
      </c>
      <c r="D99" s="96">
        <f t="shared" si="23"/>
        <v>0</v>
      </c>
      <c r="E99" s="92">
        <v>0</v>
      </c>
      <c r="F99" s="92">
        <v>0</v>
      </c>
      <c r="G99" s="92">
        <v>0</v>
      </c>
      <c r="H99" s="74">
        <f t="shared" si="24"/>
        <v>0</v>
      </c>
      <c r="I99" s="93">
        <v>0</v>
      </c>
      <c r="J99" s="93">
        <v>0</v>
      </c>
      <c r="K99" s="94">
        <f t="shared" si="25"/>
        <v>190201.56</v>
      </c>
      <c r="L99" s="96">
        <v>190199.66</v>
      </c>
      <c r="M99" s="96">
        <v>1.9</v>
      </c>
      <c r="N99" s="132">
        <v>0</v>
      </c>
    </row>
    <row r="100" spans="1:15" s="3" customFormat="1" ht="51" customHeight="1" x14ac:dyDescent="0.2">
      <c r="A100" s="98">
        <v>6</v>
      </c>
      <c r="B100" s="28" t="s">
        <v>16</v>
      </c>
      <c r="C100" s="95">
        <f t="shared" si="22"/>
        <v>190201.57</v>
      </c>
      <c r="D100" s="96">
        <f t="shared" si="23"/>
        <v>0</v>
      </c>
      <c r="E100" s="92">
        <v>0</v>
      </c>
      <c r="F100" s="92">
        <v>0</v>
      </c>
      <c r="G100" s="92">
        <v>0</v>
      </c>
      <c r="H100" s="74">
        <f t="shared" si="24"/>
        <v>0</v>
      </c>
      <c r="I100" s="93">
        <v>0</v>
      </c>
      <c r="J100" s="93">
        <v>0</v>
      </c>
      <c r="K100" s="94">
        <f t="shared" si="25"/>
        <v>190201.57</v>
      </c>
      <c r="L100" s="96">
        <v>190199.67</v>
      </c>
      <c r="M100" s="96">
        <v>1.9</v>
      </c>
      <c r="N100" s="132">
        <v>0</v>
      </c>
    </row>
    <row r="101" spans="1:15" s="3" customFormat="1" ht="51" customHeight="1" x14ac:dyDescent="0.2">
      <c r="A101" s="98"/>
      <c r="B101" s="28" t="s">
        <v>88</v>
      </c>
      <c r="C101" s="96">
        <f>SUM(C95:C100)</f>
        <v>1141209.4100000001</v>
      </c>
      <c r="D101" s="96">
        <f t="shared" ref="D101:N101" si="26">SUM(D95:D100)</f>
        <v>0</v>
      </c>
      <c r="E101" s="96">
        <f t="shared" si="26"/>
        <v>0</v>
      </c>
      <c r="F101" s="96">
        <f t="shared" si="26"/>
        <v>0</v>
      </c>
      <c r="G101" s="96">
        <f t="shared" si="26"/>
        <v>0</v>
      </c>
      <c r="H101" s="96">
        <f t="shared" si="26"/>
        <v>0</v>
      </c>
      <c r="I101" s="96">
        <f t="shared" si="26"/>
        <v>0</v>
      </c>
      <c r="J101" s="96">
        <f t="shared" si="26"/>
        <v>0</v>
      </c>
      <c r="K101" s="96">
        <f t="shared" si="26"/>
        <v>1141209.4100000001</v>
      </c>
      <c r="L101" s="96">
        <f t="shared" si="26"/>
        <v>1141198</v>
      </c>
      <c r="M101" s="96">
        <f t="shared" si="26"/>
        <v>11.41</v>
      </c>
      <c r="N101" s="133">
        <f t="shared" si="26"/>
        <v>0</v>
      </c>
    </row>
    <row r="102" spans="1:15" s="3" customFormat="1" ht="44.25" customHeight="1" x14ac:dyDescent="0.2">
      <c r="A102" s="23"/>
      <c r="B102" s="28" t="s">
        <v>20</v>
      </c>
      <c r="C102" s="43">
        <f>C101+C93+C67</f>
        <v>898607238.70999992</v>
      </c>
      <c r="D102" s="101">
        <f t="shared" ref="D102:N102" si="27">D101+D93+D67</f>
        <v>275753657.44999999</v>
      </c>
      <c r="E102" s="101">
        <f t="shared" si="27"/>
        <v>274904004.87</v>
      </c>
      <c r="F102" s="101">
        <f t="shared" si="27"/>
        <v>2749.1099999999997</v>
      </c>
      <c r="G102" s="101">
        <f t="shared" si="27"/>
        <v>846903.47</v>
      </c>
      <c r="H102" s="101">
        <f t="shared" si="27"/>
        <v>67928274.420000002</v>
      </c>
      <c r="I102" s="101">
        <f>I101+I93+I67</f>
        <v>67927595.13000001</v>
      </c>
      <c r="J102" s="101">
        <f t="shared" si="27"/>
        <v>679.29</v>
      </c>
      <c r="K102" s="101">
        <f t="shared" ca="1" si="27"/>
        <v>526275360.70000005</v>
      </c>
      <c r="L102" s="101">
        <f t="shared" si="27"/>
        <v>550883898</v>
      </c>
      <c r="M102" s="101">
        <f t="shared" si="27"/>
        <v>5508.84</v>
      </c>
      <c r="N102" s="133">
        <f t="shared" si="27"/>
        <v>4035900</v>
      </c>
    </row>
    <row r="103" spans="1:15" s="3" customFormat="1" ht="44.25" customHeight="1" x14ac:dyDescent="0.2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O103" s="82"/>
    </row>
    <row r="104" spans="1:15" s="3" customFormat="1" ht="48" customHeight="1" x14ac:dyDescent="0.2">
      <c r="A104" s="97" t="s">
        <v>94</v>
      </c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</row>
    <row r="105" spans="1:15" s="3" customFormat="1" ht="24" customHeight="1" x14ac:dyDescent="0.2">
      <c r="A105" s="1"/>
      <c r="B105" s="15"/>
      <c r="C105" s="17"/>
      <c r="D105" s="1"/>
      <c r="E105" s="1"/>
      <c r="F105" s="1"/>
      <c r="G105" s="1"/>
      <c r="H105" s="1"/>
      <c r="I105" s="1"/>
      <c r="J105" s="1"/>
    </row>
    <row r="106" spans="1:15" s="9" customFormat="1" ht="39" customHeight="1" x14ac:dyDescent="0.2">
      <c r="A106" s="18"/>
      <c r="B106" s="106" t="s">
        <v>96</v>
      </c>
      <c r="C106" s="107">
        <v>873947192.56999993</v>
      </c>
      <c r="D106" s="108">
        <v>273543000.87</v>
      </c>
      <c r="E106" s="108">
        <v>272693370.44</v>
      </c>
      <c r="F106" s="108">
        <v>2726.96</v>
      </c>
      <c r="G106" s="108">
        <v>846903.47</v>
      </c>
      <c r="H106" s="108">
        <v>70138931</v>
      </c>
      <c r="I106" s="108">
        <v>70138229.560000002</v>
      </c>
      <c r="J106" s="108">
        <v>701.44</v>
      </c>
      <c r="K106" s="109">
        <v>526275360.70000005</v>
      </c>
      <c r="L106" s="109">
        <v>526270098</v>
      </c>
      <c r="M106" s="109">
        <v>5262.7</v>
      </c>
      <c r="N106" s="110">
        <v>3989900</v>
      </c>
      <c r="O106" s="111"/>
    </row>
    <row r="107" spans="1:15" ht="18.75" x14ac:dyDescent="0.3">
      <c r="A107" s="8"/>
      <c r="B107" s="112" t="s">
        <v>69</v>
      </c>
      <c r="C107" s="113">
        <f>C102-C106</f>
        <v>24660046.139999986</v>
      </c>
      <c r="D107" s="113">
        <f>D102-D106</f>
        <v>2210656.5799999833</v>
      </c>
      <c r="E107" s="113">
        <f t="shared" ref="E107:M107" si="28">E102-E106</f>
        <v>2210634.4300000072</v>
      </c>
      <c r="F107" s="113">
        <f t="shared" si="28"/>
        <v>22.149999999999636</v>
      </c>
      <c r="G107" s="113">
        <f t="shared" si="28"/>
        <v>0</v>
      </c>
      <c r="H107" s="113">
        <f t="shared" si="28"/>
        <v>-2210656.5799999982</v>
      </c>
      <c r="I107" s="113">
        <f>I102-I106</f>
        <v>-2210634.4299999923</v>
      </c>
      <c r="J107" s="113">
        <f t="shared" si="28"/>
        <v>-22.150000000000091</v>
      </c>
      <c r="K107" s="113">
        <f t="shared" ca="1" si="28"/>
        <v>0</v>
      </c>
      <c r="L107" s="113">
        <f t="shared" si="28"/>
        <v>24613800</v>
      </c>
      <c r="M107" s="113">
        <f t="shared" si="28"/>
        <v>246.14000000000033</v>
      </c>
      <c r="N107" s="113">
        <f>N102-N106</f>
        <v>46000</v>
      </c>
      <c r="O107" s="100"/>
    </row>
    <row r="108" spans="1:15" ht="18.75" customHeight="1" x14ac:dyDescent="0.3">
      <c r="B108" s="114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100"/>
      <c r="O108" s="100"/>
    </row>
    <row r="109" spans="1:15" ht="18.75" customHeight="1" x14ac:dyDescent="0.3">
      <c r="B109" s="114"/>
      <c r="C109" s="80"/>
      <c r="D109" s="108"/>
      <c r="E109" s="108"/>
      <c r="F109" s="80"/>
      <c r="G109" s="80"/>
      <c r="H109" s="80"/>
      <c r="I109" s="80"/>
      <c r="J109" s="80"/>
      <c r="K109" s="100"/>
      <c r="L109" s="100"/>
      <c r="M109" s="100"/>
      <c r="N109" s="100"/>
      <c r="O109" s="100"/>
    </row>
    <row r="110" spans="1:15" ht="18.75" customHeight="1" x14ac:dyDescent="0.3">
      <c r="B110" s="114"/>
      <c r="C110" s="80"/>
      <c r="D110" s="108"/>
      <c r="E110" s="108"/>
      <c r="F110" s="108"/>
      <c r="G110" s="108"/>
      <c r="H110" s="108"/>
      <c r="I110" s="108"/>
      <c r="J110" s="108"/>
      <c r="K110" s="100"/>
      <c r="L110" s="100"/>
      <c r="M110" s="100"/>
      <c r="N110" s="100"/>
      <c r="O110" s="100"/>
    </row>
    <row r="111" spans="1:15" ht="18.75" customHeight="1" x14ac:dyDescent="0.3">
      <c r="B111" s="114"/>
      <c r="C111" s="80"/>
      <c r="D111" s="108"/>
      <c r="E111" s="108"/>
      <c r="F111" s="100"/>
      <c r="G111" s="100"/>
      <c r="H111" s="100"/>
      <c r="I111" s="100"/>
      <c r="J111" s="80"/>
      <c r="K111" s="100"/>
      <c r="L111" s="100"/>
      <c r="M111" s="100"/>
      <c r="N111" s="100"/>
      <c r="O111" s="100"/>
    </row>
    <row r="112" spans="1:15" ht="18.75" customHeight="1" x14ac:dyDescent="0.3">
      <c r="B112" s="112" t="s">
        <v>89</v>
      </c>
      <c r="C112" s="80"/>
      <c r="D112" s="108"/>
      <c r="E112" s="108">
        <f>E102+I102</f>
        <v>342831600</v>
      </c>
      <c r="F112" s="108">
        <f>F102+J102</f>
        <v>3428.3999999999996</v>
      </c>
      <c r="G112" s="108"/>
      <c r="H112" s="108"/>
      <c r="I112" s="108"/>
      <c r="J112" s="108"/>
      <c r="K112" s="100"/>
      <c r="L112" s="100"/>
      <c r="M112" s="100"/>
      <c r="N112" s="100"/>
      <c r="O112" s="100"/>
    </row>
    <row r="113" spans="1:15" ht="18.75" x14ac:dyDescent="0.3">
      <c r="B113" s="114"/>
      <c r="C113" s="80"/>
      <c r="D113" s="108"/>
      <c r="E113" s="108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</row>
    <row r="114" spans="1:15" ht="18.75" x14ac:dyDescent="0.3">
      <c r="B114" s="114"/>
      <c r="C114" s="80"/>
      <c r="D114" s="80"/>
      <c r="E114" s="80"/>
      <c r="F114" s="80"/>
      <c r="G114" s="80"/>
      <c r="H114" s="80"/>
      <c r="I114" s="80"/>
      <c r="J114" s="80"/>
      <c r="K114" s="100"/>
      <c r="L114" s="80"/>
      <c r="M114" s="100"/>
      <c r="N114" s="100"/>
      <c r="O114" s="100"/>
    </row>
    <row r="117" spans="1:15" ht="20.25" x14ac:dyDescent="0.3">
      <c r="A117" s="79"/>
      <c r="B117" s="75"/>
      <c r="C117" s="76"/>
      <c r="D117" s="76"/>
      <c r="E117" s="76"/>
    </row>
    <row r="118" spans="1:15" ht="20.25" x14ac:dyDescent="0.3">
      <c r="A118" s="79"/>
      <c r="B118" s="75"/>
      <c r="C118" s="76"/>
      <c r="D118" s="122" t="s">
        <v>83</v>
      </c>
      <c r="E118" s="76"/>
    </row>
    <row r="119" spans="1:15" ht="20.25" x14ac:dyDescent="0.3">
      <c r="A119" s="79"/>
      <c r="B119" s="75" t="s">
        <v>75</v>
      </c>
      <c r="C119" s="77">
        <f>C28+C95</f>
        <v>22452906.390000001</v>
      </c>
      <c r="D119" s="140">
        <f>[1]Отчет!$C$23</f>
        <v>24129820.5</v>
      </c>
      <c r="E119" s="77">
        <f>C119-D119</f>
        <v>-1676914.1099999994</v>
      </c>
    </row>
    <row r="120" spans="1:15" ht="20.25" x14ac:dyDescent="0.3">
      <c r="A120" s="79"/>
      <c r="B120" s="75" t="s">
        <v>76</v>
      </c>
      <c r="C120" s="77">
        <f>C35+C96</f>
        <v>25844342.82</v>
      </c>
      <c r="D120" s="140">
        <f>[1]Отчет!$C$46</f>
        <v>25844342.82</v>
      </c>
      <c r="E120" s="77">
        <f t="shared" ref="E120:E123" si="29">C120-D120</f>
        <v>0</v>
      </c>
      <c r="F120" s="99"/>
    </row>
    <row r="121" spans="1:15" ht="20.25" x14ac:dyDescent="0.3">
      <c r="A121" s="79"/>
      <c r="B121" s="75" t="s">
        <v>77</v>
      </c>
      <c r="C121" s="77">
        <f>C45+C74+C96</f>
        <v>29337931.969999999</v>
      </c>
      <c r="D121" s="140">
        <f>[1]Отчет!$C$69</f>
        <v>29337931.969999999</v>
      </c>
      <c r="E121" s="77">
        <f t="shared" si="29"/>
        <v>0</v>
      </c>
    </row>
    <row r="122" spans="1:15" ht="20.25" x14ac:dyDescent="0.3">
      <c r="A122" s="79"/>
      <c r="B122" s="75" t="s">
        <v>78</v>
      </c>
      <c r="C122" s="77">
        <f>C54+C78+C98</f>
        <v>13145893.65</v>
      </c>
      <c r="D122" s="140">
        <f>[1]Отчет!$C$111</f>
        <v>14943128.18</v>
      </c>
      <c r="E122" s="77">
        <f t="shared" si="29"/>
        <v>-1797234.5299999993</v>
      </c>
      <c r="F122" s="99"/>
    </row>
    <row r="123" spans="1:15" ht="20.25" x14ac:dyDescent="0.3">
      <c r="A123" s="79"/>
      <c r="B123" s="75" t="s">
        <v>79</v>
      </c>
      <c r="C123" s="77">
        <f>C59+C99</f>
        <v>20199196.169999998</v>
      </c>
      <c r="D123" s="140">
        <f>[1]Отчет!$C$151</f>
        <v>20199196.170000002</v>
      </c>
      <c r="E123" s="77">
        <f t="shared" si="29"/>
        <v>0</v>
      </c>
      <c r="F123" s="99"/>
    </row>
    <row r="124" spans="1:15" ht="20.25" x14ac:dyDescent="0.3">
      <c r="A124" s="79"/>
      <c r="B124" s="75" t="s">
        <v>80</v>
      </c>
      <c r="C124" s="77">
        <f>C66+C84+C100</f>
        <v>14204529.530000001</v>
      </c>
      <c r="D124" s="140">
        <f>[1]Отчет!$C$172</f>
        <v>14204529.529999999</v>
      </c>
      <c r="E124" s="77">
        <f>C124-D124</f>
        <v>0</v>
      </c>
      <c r="F124" s="99"/>
    </row>
    <row r="125" spans="1:15" ht="20.25" x14ac:dyDescent="0.3">
      <c r="A125" s="79"/>
      <c r="B125" s="75" t="s">
        <v>81</v>
      </c>
      <c r="C125" s="77">
        <f>C89</f>
        <v>748808392.03999996</v>
      </c>
      <c r="D125" s="140">
        <f>[1]Отчет!$C$221</f>
        <v>760135983.01999998</v>
      </c>
      <c r="E125" s="77">
        <f>C125-D125</f>
        <v>-11327590.980000019</v>
      </c>
      <c r="F125" s="10"/>
    </row>
    <row r="126" spans="1:15" ht="20.25" x14ac:dyDescent="0.3">
      <c r="A126" s="79"/>
      <c r="B126" s="75" t="s">
        <v>100</v>
      </c>
      <c r="C126" s="77">
        <f>C92</f>
        <v>24614046.140000001</v>
      </c>
      <c r="D126" s="140">
        <f>[1]Отчет!$C$15</f>
        <v>24614046.140000001</v>
      </c>
      <c r="E126" s="77">
        <f>C126-D126</f>
        <v>0</v>
      </c>
      <c r="F126" s="10"/>
    </row>
    <row r="127" spans="1:15" ht="20.25" x14ac:dyDescent="0.3">
      <c r="A127" s="79"/>
      <c r="B127" s="75"/>
      <c r="C127" s="77">
        <f>SUM(C119:C125)</f>
        <v>873993192.56999993</v>
      </c>
      <c r="D127" s="140">
        <f>SUM(D119:D126)</f>
        <v>913408978.32999992</v>
      </c>
      <c r="E127" s="77"/>
    </row>
    <row r="128" spans="1:15" ht="20.25" x14ac:dyDescent="0.3">
      <c r="A128" s="79"/>
      <c r="B128" s="75"/>
      <c r="C128" s="76"/>
      <c r="D128" s="76"/>
      <c r="E128" s="76"/>
      <c r="G128" s="10"/>
    </row>
    <row r="129" spans="1:5" ht="20.25" x14ac:dyDescent="0.3">
      <c r="A129" s="79"/>
      <c r="B129" s="75"/>
      <c r="C129" s="76"/>
      <c r="D129" s="76"/>
      <c r="E129" s="76"/>
    </row>
    <row r="131" spans="1:5" x14ac:dyDescent="0.25">
      <c r="D131" s="10"/>
    </row>
    <row r="133" spans="1:5" ht="20.25" x14ac:dyDescent="0.3">
      <c r="B133" s="75" t="s">
        <v>84</v>
      </c>
    </row>
    <row r="134" spans="1:5" ht="40.5" x14ac:dyDescent="0.3">
      <c r="B134" s="75" t="s">
        <v>85</v>
      </c>
      <c r="C134" s="2" t="s">
        <v>86</v>
      </c>
    </row>
    <row r="135" spans="1:5" ht="20.25" x14ac:dyDescent="0.3">
      <c r="B135" s="75"/>
      <c r="C135" s="80">
        <f>E102+I102</f>
        <v>342831600</v>
      </c>
      <c r="D135" s="80">
        <f>F102+J102</f>
        <v>3428.3999999999996</v>
      </c>
      <c r="E135" s="100"/>
    </row>
    <row r="136" spans="1:5" ht="20.25" x14ac:dyDescent="0.3">
      <c r="B136" s="75"/>
      <c r="C136" s="100"/>
      <c r="D136" s="100"/>
      <c r="E136" s="100"/>
    </row>
    <row r="137" spans="1:5" ht="20.25" x14ac:dyDescent="0.3">
      <c r="B137" s="75"/>
      <c r="C137" s="123">
        <v>342831600</v>
      </c>
      <c r="D137" s="80">
        <v>4000</v>
      </c>
      <c r="E137" s="100"/>
    </row>
    <row r="138" spans="1:5" ht="20.25" x14ac:dyDescent="0.3">
      <c r="B138" s="75"/>
      <c r="C138" s="80">
        <f>C135-C137</f>
        <v>0</v>
      </c>
      <c r="D138" s="80">
        <f>D135-D137</f>
        <v>-571.60000000000036</v>
      </c>
      <c r="E138" s="100"/>
    </row>
    <row r="139" spans="1:5" ht="20.25" x14ac:dyDescent="0.3">
      <c r="B139" s="75"/>
      <c r="C139" s="100"/>
      <c r="D139" s="80"/>
      <c r="E139" s="100"/>
    </row>
    <row r="140" spans="1:5" ht="20.25" x14ac:dyDescent="0.3">
      <c r="B140" s="75"/>
      <c r="C140" s="100"/>
      <c r="D140" s="100"/>
      <c r="E140" s="100"/>
    </row>
    <row r="141" spans="1:5" ht="20.25" x14ac:dyDescent="0.3">
      <c r="B141" s="75"/>
      <c r="C141" s="100"/>
      <c r="D141" s="100"/>
      <c r="E141" s="100"/>
    </row>
    <row r="142" spans="1:5" ht="20.25" x14ac:dyDescent="0.3">
      <c r="B142" s="75"/>
    </row>
    <row r="143" spans="1:5" ht="20.25" x14ac:dyDescent="0.3">
      <c r="B143" s="75"/>
    </row>
    <row r="144" spans="1:5" ht="20.25" x14ac:dyDescent="0.3">
      <c r="B144" s="75"/>
    </row>
  </sheetData>
  <mergeCells count="104">
    <mergeCell ref="A69:N69"/>
    <mergeCell ref="F21:F25"/>
    <mergeCell ref="A29:N29"/>
    <mergeCell ref="A55:N55"/>
    <mergeCell ref="N47:N52"/>
    <mergeCell ref="A46:N46"/>
    <mergeCell ref="K56:K58"/>
    <mergeCell ref="H47:H52"/>
    <mergeCell ref="I47:I52"/>
    <mergeCell ref="L56:L58"/>
    <mergeCell ref="M56:M58"/>
    <mergeCell ref="I56:I58"/>
    <mergeCell ref="J56:J58"/>
    <mergeCell ref="H21:H25"/>
    <mergeCell ref="I21:I25"/>
    <mergeCell ref="M21:M25"/>
    <mergeCell ref="K47:K52"/>
    <mergeCell ref="L47:L52"/>
    <mergeCell ref="L21:L25"/>
    <mergeCell ref="D56:D58"/>
    <mergeCell ref="F56:F58"/>
    <mergeCell ref="E56:E58"/>
    <mergeCell ref="C56:C58"/>
    <mergeCell ref="G56:G58"/>
    <mergeCell ref="J21:J25"/>
    <mergeCell ref="H30:H33"/>
    <mergeCell ref="D30:D33"/>
    <mergeCell ref="C30:C33"/>
    <mergeCell ref="N15:N17"/>
    <mergeCell ref="A19:N19"/>
    <mergeCell ref="A20:N20"/>
    <mergeCell ref="N21:N25"/>
    <mergeCell ref="K21:K25"/>
    <mergeCell ref="G21:G25"/>
    <mergeCell ref="C21:C25"/>
    <mergeCell ref="D21:D25"/>
    <mergeCell ref="E21:E25"/>
    <mergeCell ref="G30:G33"/>
    <mergeCell ref="F30:F33"/>
    <mergeCell ref="A8:M8"/>
    <mergeCell ref="D16:D17"/>
    <mergeCell ref="G16:G17"/>
    <mergeCell ref="E16:F16"/>
    <mergeCell ref="D15:G15"/>
    <mergeCell ref="A15:A17"/>
    <mergeCell ref="B15:B17"/>
    <mergeCell ref="C15:C17"/>
    <mergeCell ref="A9:M9"/>
    <mergeCell ref="A10:M10"/>
    <mergeCell ref="A11:M11"/>
    <mergeCell ref="H16:H17"/>
    <mergeCell ref="I16:J16"/>
    <mergeCell ref="H15:J15"/>
    <mergeCell ref="K15:M15"/>
    <mergeCell ref="K16:K17"/>
    <mergeCell ref="L16:M16"/>
    <mergeCell ref="A94:N94"/>
    <mergeCell ref="L37:L38"/>
    <mergeCell ref="M37:M38"/>
    <mergeCell ref="N37:N38"/>
    <mergeCell ref="N30:N33"/>
    <mergeCell ref="M30:M33"/>
    <mergeCell ref="L30:L33"/>
    <mergeCell ref="K30:K33"/>
    <mergeCell ref="J30:J33"/>
    <mergeCell ref="I30:I33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A36:N36"/>
    <mergeCell ref="C47:C52"/>
    <mergeCell ref="D47:D52"/>
    <mergeCell ref="F47:F52"/>
    <mergeCell ref="E47:E52"/>
    <mergeCell ref="A85:N85"/>
    <mergeCell ref="N56:N58"/>
    <mergeCell ref="N61:N64"/>
    <mergeCell ref="A68:N68"/>
    <mergeCell ref="E30:E33"/>
    <mergeCell ref="A60:N60"/>
    <mergeCell ref="M47:M52"/>
    <mergeCell ref="H56:H58"/>
    <mergeCell ref="A90:N90"/>
    <mergeCell ref="G47:G52"/>
    <mergeCell ref="J47:J52"/>
    <mergeCell ref="A79:N79"/>
    <mergeCell ref="A75:N75"/>
    <mergeCell ref="K61:K64"/>
    <mergeCell ref="L61:L64"/>
    <mergeCell ref="M61:M64"/>
    <mergeCell ref="C61:C64"/>
    <mergeCell ref="D61:D64"/>
    <mergeCell ref="E61:E64"/>
    <mergeCell ref="F61:F64"/>
    <mergeCell ref="G61:G64"/>
    <mergeCell ref="H61:H64"/>
    <mergeCell ref="I61:I64"/>
    <mergeCell ref="J61:J64"/>
  </mergeCells>
  <pageMargins left="1.3779527559055118" right="0.39370078740157483" top="1.3779527559055118" bottom="0.39370078740157483" header="0.31496062992125984" footer="0.31496062992125984"/>
  <pageSetup paperSize="8" scale="55" fitToHeight="7" orientation="landscape" r:id="rId1"/>
  <headerFooter differentFirst="1">
    <oddHeader>&amp;C&amp;P</oddHeader>
  </headerFooter>
  <rowBreaks count="3" manualBreakCount="3">
    <brk id="35" max="13" man="1"/>
    <brk id="67" max="13" man="1"/>
    <brk id="8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2022-09-14T12:50:21Z</cp:lastPrinted>
  <dcterms:created xsi:type="dcterms:W3CDTF">2002-03-25T05:35:56Z</dcterms:created>
  <dcterms:modified xsi:type="dcterms:W3CDTF">2022-11-16T15:29:52Z</dcterms:modified>
</cp:coreProperties>
</file>